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autoCompressPictures="0"/>
  <mc:AlternateContent xmlns:mc="http://schemas.openxmlformats.org/markup-compatibility/2006">
    <mc:Choice Requires="x15">
      <x15ac:absPath xmlns:x15ac="http://schemas.microsoft.com/office/spreadsheetml/2010/11/ac" url="C:\Users\osbma\Documents\"/>
    </mc:Choice>
  </mc:AlternateContent>
  <xr:revisionPtr revIDLastSave="0" documentId="8_{C52B1F43-93EF-4E4E-8A5A-DBCF82182FCA}"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28692" yWindow="-108" windowWidth="29016" windowHeight="1581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C5" i="5" l="1"/>
  <c r="C6" i="5"/>
  <c r="C7" i="5"/>
  <c r="B5" i="5"/>
  <c r="B6" i="5"/>
  <c r="B7" i="5"/>
  <c r="B8" i="5"/>
  <c r="B9" i="5"/>
  <c r="B10" i="5"/>
  <c r="B11" i="5"/>
  <c r="B12" i="5"/>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S22" i="5"/>
  <c r="C22" i="5"/>
  <c r="V22" i="5" s="1"/>
  <c r="I22" i="5" s="1"/>
  <c r="B22" i="5"/>
  <c r="C21" i="5"/>
  <c r="V21" i="5" s="1"/>
  <c r="B21" i="5"/>
  <c r="V20" i="5"/>
  <c r="R20" i="5" s="1"/>
  <c r="B20" i="5"/>
  <c r="T20" i="5" s="1"/>
  <c r="C19" i="5"/>
  <c r="V19" i="5" s="1"/>
  <c r="B19" i="5"/>
  <c r="T19" i="5" s="1"/>
  <c r="AB18" i="5"/>
  <c r="V18" i="5"/>
  <c r="I18" i="5" s="1"/>
  <c r="V6" i="5"/>
  <c r="R6" i="5" s="1"/>
  <c r="AB6" i="5"/>
  <c r="V5" i="5"/>
  <c r="H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44" i="5" l="1"/>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H134"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F1154" i="5"/>
  <c r="J1154" i="5"/>
  <c r="AB1181" i="5"/>
  <c r="V1181" i="5"/>
  <c r="G1181" i="5" s="1"/>
  <c r="AB1189" i="5"/>
  <c r="S1201" i="5"/>
  <c r="AB1201" i="5"/>
  <c r="R1213" i="5"/>
  <c r="H1213" i="5"/>
  <c r="F1213" i="5"/>
  <c r="E1213" i="5"/>
  <c r="X1213" i="5" s="1"/>
  <c r="J1213" i="5"/>
  <c r="S1221" i="5"/>
  <c r="AB1221" i="5"/>
  <c r="T1221" i="5"/>
  <c r="V1224" i="5"/>
  <c r="E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G6" i="5"/>
  <c r="J5" i="5"/>
  <c r="F19" i="6"/>
  <c r="X341" i="5"/>
  <c r="X412"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R5" i="5"/>
  <c r="H6"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 i="5"/>
  <c r="I6"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E5" i="5"/>
  <c r="X5" i="5" s="1"/>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F5" i="5"/>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G5"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F6" i="5"/>
  <c r="J6"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I5" i="5"/>
  <c r="E6"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X527"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X934"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X1224" i="5"/>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X1054"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X1154"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6" i="5"/>
  <c r="T5" i="5"/>
  <c r="B32" i="6" l="1"/>
  <c r="C7" i="6"/>
  <c r="C12"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C15" i="5"/>
  <c r="C8" i="5"/>
  <c r="C9" i="5"/>
  <c r="C10" i="5"/>
  <c r="C11" i="5"/>
  <c r="C14" i="5"/>
  <c r="C12" i="5"/>
  <c r="C13" i="5"/>
  <c r="C17" i="5"/>
  <c r="C16" i="5"/>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S6" i="5"/>
  <c r="S5" i="5"/>
  <c r="H46" i="6" l="1"/>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4" i="6"/>
  <c r="C24" i="6"/>
  <c r="X100" i="5"/>
  <c r="D27" i="6"/>
  <c r="C27" i="6"/>
  <c r="C36" i="6"/>
  <c r="C42" i="6"/>
  <c r="C40" i="6"/>
  <c r="C41" i="6"/>
  <c r="C20" i="6"/>
  <c r="D20" i="6"/>
  <c r="C2" i="6"/>
  <c r="B2" i="6"/>
  <c r="C35"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46" i="6" l="1"/>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10" i="5"/>
  <c r="T12" i="5"/>
  <c r="T9" i="5"/>
  <c r="T17" i="5"/>
  <c r="T16" i="5"/>
  <c r="T14" i="5"/>
  <c r="T8" i="5"/>
  <c r="T15" i="5"/>
  <c r="T13" i="5"/>
  <c r="T11" i="5"/>
  <c r="T7" i="5"/>
  <c r="X13" i="5" l="1"/>
  <c r="X10" i="5"/>
  <c r="D65" i="6"/>
  <c r="X9" i="5"/>
  <c r="X12" i="5"/>
  <c r="X14" i="5"/>
  <c r="X17" i="5"/>
  <c r="S17" i="5"/>
  <c r="D66" i="6"/>
  <c r="C67" i="6"/>
  <c r="X11" i="5"/>
  <c r="X15" i="5"/>
  <c r="X8" i="5"/>
  <c r="X7" i="5"/>
  <c r="G69" i="6"/>
  <c r="H69" i="6" s="1"/>
  <c r="H70" i="6" s="1"/>
  <c r="D2" i="6" s="1"/>
  <c r="X16" i="5"/>
  <c r="S16" i="5"/>
  <c r="D55" i="6"/>
  <c r="C55" i="6"/>
  <c r="D56" i="6"/>
  <c r="C56" i="6"/>
  <c r="S11" i="5"/>
  <c r="S13" i="5"/>
  <c r="S8" i="5"/>
  <c r="S9" i="5"/>
  <c r="S7" i="5"/>
  <c r="S14" i="5"/>
  <c r="S10" i="5"/>
  <c r="S12" i="5"/>
  <c r="S1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<sst xmlns="http://schemas.openxmlformats.org/spreadsheetml/2006/main" count="21795" uniqueCount="15516">
  <si>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</si>
  <si>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</si>
  <si>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</si>
  <si>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</si>
  <si>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</si>
  <si>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</si>
  <si>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</si>
  <si>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</si>
  <si>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</si>
  <si>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</si>
  <si>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</si>
  <si>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</si>
  <si>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</si>
  <si>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</si>
  <si>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</si>
  <si>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</si>
  <si>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</si>
  <si>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</si>
  <si>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</si>
  <si>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</si>
  <si>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</si>
  <si>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</si>
  <si>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</si>
  <si>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</si>
  <si>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</si>
  <si>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</si>
  <si>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</si>
  <si>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</si>
  <si>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</si>
  <si>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</si>
  <si>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</si>
  <si>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</si>
  <si>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</si>
  <si>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</si>
  <si>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</si>
  <si>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</si>
  <si>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</si>
  <si>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</si>
  <si>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</si>
  <si>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</si>
  <si>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</si>
  <si>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</si>
  <si>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</si>
  <si>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</si>
  <si>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</si>
  <si>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</si>
  <si>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</si>
  <si>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</si>
  <si>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</si>
  <si>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</si>
  <si>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</si>
  <si>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</si>
  <si>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</si>
  <si>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</si>
  <si>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</si>
  <si>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</si>
  <si>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</si>
  <si>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</si>
  <si>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</si>
  <si>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</si>
  <si>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</si>
  <si>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</si>
  <si>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</si>
  <si>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</si>
  <si>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</si>
  <si>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</si>
  <si>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</si>
  <si>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</si>
  <si>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</si>
  <si>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</si>
  <si>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</si>
  <si>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</si>
  <si>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</si>
  <si>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</si>
  <si>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</si>
  <si>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</si>
  <si>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</si>
  <si>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</si>
  <si>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</si>
  <si>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</si>
  <si>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</si>
  <si>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</si>
  <si>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</si>
  <si>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</si>
  <si>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</si>
  <si>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</si>
  <si>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</si>
  <si>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</si>
  <si>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</si>
  <si>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</si>
  <si>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</si>
  <si>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</si>
  <si>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</si>
  <si>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</si>
  <si>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</si>
  <si>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</si>
  <si>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</si>
  <si>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</si>
  <si>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</si>
  <si>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</si>
  <si>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</si>
  <si>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</si>
  <si>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</si>
  <si>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</si>
  <si>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</si>
  <si>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</si>
  <si>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</si>
  <si>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</si>
  <si>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</si>
  <si>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</si>
  <si>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</si>
  <si>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</si>
  <si>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</si>
  <si>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</si>
  <si>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</si>
  <si>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</si>
  <si>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</si>
  <si>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</si>
  <si>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</si>
  <si>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</si>
  <si>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</si>
  <si>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</si>
  <si>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</si>
  <si>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</si>
  <si>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</si>
  <si>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</si>
  <si>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</si>
  <si>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</si>
  <si>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</si>
  <si>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</si>
  <si>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</si>
  <si>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</si>
  <si>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</si>
  <si>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</si>
  <si>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</si>
  <si>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</si>
  <si>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</si>
  <si>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</si>
  <si>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</si>
  <si>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</si>
  <si>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</si>
  <si>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</si>
  <si>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</si>
  <si>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</si>
  <si>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</si>
  <si>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</si>
  <si>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</si>
  <si>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</si>
  <si>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</si>
  <si>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</si>
  <si>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</si>
  <si>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</si>
  <si>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</si>
  <si>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</si>
  <si>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</si>
  <si>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</si>
  <si>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</si>
  <si>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</si>
  <si>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</si>
  <si>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</si>
  <si>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</si>
  <si>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</si>
  <si>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</si>
  <si>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</si>
  <si>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</si>
  <si>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</si>
  <si>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</si>
  <si>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</si>
  <si>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</si>
  <si>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</si>
  <si>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</si>
  <si>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</si>
  <si>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</si>
  <si>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</si>
  <si>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</si>
  <si>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</si>
  <si>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</si>
  <si>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</si>
  <si>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</si>
  <si>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</si>
  <si>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</si>
  <si>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</si>
  <si>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</si>
  <si>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</si>
  <si>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</si>
  <si>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</si>
  <si>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</si>
  <si>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</si>
  <si>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</si>
  <si>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</si>
  <si>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</si>
  <si>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</si>
  <si>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</si>
  <si>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</si>
  <si>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</si>
  <si>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</si>
  <si>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</si>
  <si>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</si>
  <si>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</si>
  <si>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</si>
  <si>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</si>
  <si>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</si>
  <si>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</si>
  <si>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</si>
  <si>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</si>
  <si>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</si>
  <si>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</si>
  <si>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</si>
  <si>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</si>
  <si>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</si>
  <si>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</si>
  <si>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</si>
  <si>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</si>
  <si>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</si>
  <si>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</si>
  <si>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</si>
  <si>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</si>
  <si>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</si>
  <si>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</si>
  <si>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</si>
  <si>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</si>
  <si>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</si>
  <si>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</si>
  <si>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</si>
  <si>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</si>
  <si>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</si>
  <si>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</si>
  <si>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</si>
  <si>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</si>
  <si>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</si>
  <si>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</si>
  <si>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</si>
  <si>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</si>
  <si>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</si>
  <si>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</si>
  <si>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</si>
  <si>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</si>
  <si>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</si>
  <si>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</si>
  <si>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</si>
  <si>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</si>
  <si>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</si>
  <si>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</si>
  <si>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</si>
  <si>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</si>
  <si>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</si>
  <si>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</si>
  <si>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</si>
  <si>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</si>
  <si>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</si>
  <si>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</si>
  <si>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</si>
  <si>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</si>
  <si>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</si>
  <si>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</si>
  <si>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</si>
  <si>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</si>
  <si>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</si>
  <si>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</si>
  <si>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</si>
  <si>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</si>
  <si>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</si>
  <si>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</si>
  <si>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</si>
  <si>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</si>
  <si>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</si>
  <si>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</si>
  <si>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</si>
  <si>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</si>
  <si>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</si>
  <si>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</si>
  <si>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</si>
  <si>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</si>
  <si>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</si>
  <si>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</si>
  <si>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</si>
  <si>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</si>
  <si>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</si>
  <si>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</si>
  <si>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</si>
  <si>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</si>
  <si>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</si>
  <si>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</si>
  <si>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</si>
  <si>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</si>
  <si>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</si>
  <si>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</si>
  <si>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</si>
  <si>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</si>
  <si>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</si>
  <si>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</si>
  <si>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</si>
  <si>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</si>
  <si>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</si>
  <si>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</si>
  <si>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</si>
  <si>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</si>
  <si>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</si>
  <si>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</si>
  <si>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</si>
  <si>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</si>
  <si>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</si>
  <si>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</si>
  <si>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</si>
  <si>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</si>
  <si>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</si>
  <si>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</si>
  <si>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</si>
  <si>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</si>
  <si>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</si>
  <si>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</si>
  <si>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</si>
  <si>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</si>
  <si>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</si>
  <si>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</si>
  <si>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</si>
  <si>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</si>
  <si>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</si>
  <si>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</si>
  <si>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</si>
  <si>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</si>
  <si>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</si>
  <si>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</si>
  <si>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</si>
  <si>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</si>
  <si>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</si>
  <si>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</si>
  <si>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</si>
  <si>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</si>
  <si>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</si>
  <si>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</si>
  <si>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</si>
  <si>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</si>
  <si>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</si>
  <si>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</si>
  <si>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</si>
  <si>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</si>
  <si>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</si>
  <si>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</si>
  <si>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</si>
  <si>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</si>
  <si>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</si>
  <si>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</si>
  <si>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</si>
  <si>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</si>
  <si>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</si>
  <si>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</si>
  <si>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</si>
  <si>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</si>
  <si>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</si>
  <si>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</si>
  <si>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</si>
  <si>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</si>
  <si>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</si>
  <si>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</si>
  <si>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</si>
  <si>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</si>
  <si>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</si>
  <si>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</si>
  <si>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</si>
  <si>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</si>
  <si>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</si>
  <si>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</si>
  <si>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</si>
  <si>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</si>
  <si>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</si>
  <si>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</si>
  <si>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</si>
  <si>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</si>
  <si>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</si>
  <si>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</si>
  <si>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</si>
  <si>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</si>
  <si>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</si>
  <si>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</si>
  <si>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</si>
  <si>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</si>
  <si>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</si>
  <si>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</si>
  <si>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</si>
  <si>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</si>
  <si>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</si>
  <si>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</si>
  <si>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</si>
  <si>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</si>
  <si>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</si>
  <si>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</si>
  <si>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</si>
  <si>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</si>
  <si>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</si>
  <si>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</si>
  <si>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</si>
  <si>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</si>
  <si>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</si>
  <si>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</si>
  <si>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</si>
  <si>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</si>
  <si>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</si>
  <si>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</si>
  <si>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</si>
  <si>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</si>
  <si>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</si>
  <si>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</si>
  <si>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</si>
  <si>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</si>
  <si>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</si>
  <si>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</si>
  <si>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</si>
  <si>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</si>
  <si>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</si>
  <si>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</si>
  <si>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</si>
  <si>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</si>
  <si>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</si>
  <si>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</si>
  <si>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</si>
  <si>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</si>
  <si>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</si>
  <si>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</si>
  <si>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</si>
  <si>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</si>
  <si>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</si>
  <si>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</si>
  <si>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</si>
  <si>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</si>
  <si>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</si>
  <si>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</si>
  <si>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</si>
  <si>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</si>
  <si>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</si>
  <si>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</si>
  <si>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</si>
  <si>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</si>
  <si>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</si>
  <si>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</si>
  <si>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</si>
  <si>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</si>
  <si>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</si>
  <si>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</si>
  <si>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</si>
  <si>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</si>
  <si>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</si>
  <si>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</si>
  <si>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</si>
  <si>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</si>
  <si>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</si>
  <si>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</si>
  <si>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</si>
  <si>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</si>
  <si>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</si>
  <si>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</si>
  <si>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</si>
  <si>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</si>
  <si>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</si>
  <si>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</si>
  <si>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</si>
  <si>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</si>
  <si>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</si>
  <si>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</si>
  <si>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</si>
  <si>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</si>
  <si>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</si>
  <si>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</si>
  <si>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</si>
  <si>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</si>
  <si>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</si>
  <si>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</si>
  <si>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</si>
  <si>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</si>
  <si>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</si>
  <si>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</si>
  <si>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</si>
  <si>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</si>
  <si>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</si>
  <si>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</si>
  <si>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</si>
  <si>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</si>
  <si>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</si>
  <si>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</si>
  <si>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</si>
  <si>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</si>
  <si>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</si>
  <si>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</si>
  <si>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</si>
  <si>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</si>
  <si>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</si>
  <si>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</si>
  <si>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</si>
  <si>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</si>
  <si>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</si>
  <si>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</si>
  <si>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</si>
  <si>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</si>
  <si>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</si>
  <si>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</si>
  <si>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</si>
  <si>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</si>
  <si>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</si>
  <si>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</si>
  <si>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</si>
  <si>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</si>
  <si>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</si>
  <si>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</si>
  <si>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</si>
  <si>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</si>
  <si>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</si>
  <si>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</si>
  <si>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</si>
  <si>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</si>
  <si>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</si>
  <si>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</si>
  <si>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</si>
  <si>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</si>
  <si>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</si>
  <si>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</si>
  <si>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</si>
  <si>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</si>
  <si>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</si>
  <si>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</si>
  <si>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</si>
  <si>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</si>
  <si>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</si>
  <si>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</si>
  <si>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</si>
  <si>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</si>
  <si>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</si>
  <si>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</si>
  <si>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</si>
  <si>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</si>
  <si>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</si>
  <si>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</si>
  <si>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</si>
  <si>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</si>
  <si>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</si>
  <si>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</si>
  <si>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</si>
  <si>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</si>
  <si>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</si>
  <si>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</si>
  <si>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</si>
  <si>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</si>
  <si>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</si>
  <si>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</si>
  <si>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</si>
  <si>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</si>
  <si>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</si>
  <si>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</si>
  <si>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</si>
  <si>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</si>
  <si>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</si>
  <si>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</si>
  <si>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</si>
  <si>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</si>
  <si>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</si>
  <si>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</si>
  <si>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</si>
  <si>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</si>
  <si>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</si>
  <si>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</si>
  <si>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</si>
  <si>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</si>
  <si>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</si>
  <si>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</si>
  <si>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</si>
  <si>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</si>
  <si>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</si>
  <si>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</si>
  <si>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</si>
  <si>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</si>
  <si>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</si>
  <si>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</si>
  <si>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</si>
  <si>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</si>
  <si>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</si>
  <si>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</si>
  <si>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</si>
  <si>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</si>
  <si>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</si>
  <si>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</si>
  <si>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</si>
  <si>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</si>
  <si>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</si>
  <si>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</si>
  <si>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</si>
  <si>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</si>
  <si>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</si>
  <si>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</si>
  <si>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</si>
  <si>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</si>
  <si>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</si>
  <si>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</si>
  <si>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</si>
  <si>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</si>
  <si>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</si>
  <si>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</si>
  <si>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</si>
  <si>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</si>
  <si>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</si>
  <si>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</si>
  <si>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</si>
  <si>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</si>
  <si>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</si>
  <si>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</si>
  <si>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</si>
  <si>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</si>
  <si>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</si>
  <si>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</si>
  <si>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</si>
  <si>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</si>
  <si>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</si>
  <si>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</si>
  <si>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</si>
  <si>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</si>
  <si>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</si>
  <si>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</si>
  <si>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</si>
  <si>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</si>
  <si>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</si>
  <si>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</si>
  <si>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</si>
  <si>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</si>
  <si>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</si>
  <si>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</si>
  <si>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</si>
  <si>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</si>
  <si>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</si>
  <si>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</si>
  <si>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</si>
  <si>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</si>
  <si>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</si>
  <si>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</si>
  <si>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</si>
  <si>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</si>
  <si>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</si>
  <si>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</si>
  <si>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</si>
  <si>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</si>
  <si>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</si>
  <si>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</si>
  <si>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</si>
  <si>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</si>
  <si>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</si>
  <si>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</si>
  <si>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</si>
  <si>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</si>
  <si>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</si>
  <si>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</si>
  <si>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</si>
  <si>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</si>
  <si>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</si>
  <si>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</si>
  <si>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</si>
  <si>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</si>
  <si>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</si>
  <si>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</si>
  <si>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</si>
  <si>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</si>
  <si>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</si>
  <si>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</si>
  <si>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</si>
  <si>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</si>
  <si>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</si>
  <si>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</si>
  <si>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</si>
  <si>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</si>
  <si>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</si>
  <si>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</si>
  <si>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</si>
  <si>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</si>
  <si>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</si>
  <si>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</si>
  <si>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</si>
  <si>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</si>
  <si>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</si>
  <si>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</si>
  <si>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</si>
  <si>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</si>
  <si>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</si>
  <si>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</si>
  <si>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</si>
  <si>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</si>
  <si>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</si>
  <si>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</si>
  <si>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</si>
  <si>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</si>
  <si>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</si>
  <si>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</si>
  <si>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</si>
  <si>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</si>
  <si>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</si>
  <si>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</si>
  <si>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</si>
  <si>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</si>
  <si>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</si>
  <si>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</si>
  <si>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</si>
  <si>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</si>
  <si>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</si>
  <si>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</si>
  <si>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</si>
  <si>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</si>
  <si>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</si>
  <si>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</si>
  <si>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</si>
  <si>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</si>
  <si>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</si>
  <si>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</si>
  <si>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</si>
  <si>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</si>
  <si>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</si>
  <si>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</si>
  <si>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</si>
  <si>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</si>
  <si>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</si>
  <si>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</si>
  <si>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</si>
  <si>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</si>
  <si>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</si>
  <si>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</si>
  <si>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</si>
  <si>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</si>
  <si>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</si>
  <si>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</si>
  <si>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</si>
  <si>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</si>
  <si>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</si>
  <si>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</si>
  <si>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</si>
  <si>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</si>
  <si>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</si>
  <si>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</si>
  <si>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</si>
  <si>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</si>
  <si>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</si>
  <si>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</si>
  <si>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</si>
  <si>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</si>
  <si>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</si>
  <si>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</si>
  <si>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</si>
  <si>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</si>
  <si>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</si>
  <si>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</si>
  <si>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</si>
  <si>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</si>
  <si>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</si>
  <si>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</si>
  <si>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</si>
  <si>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</si>
  <si>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</si>
  <si>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</si>
  <si>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</si>
  <si>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</si>
  <si>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</si>
  <si>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</si>
  <si>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</si>
  <si>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</si>
  <si>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</si>
  <si>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</si>
  <si>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</si>
  <si>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</si>
  <si>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</si>
  <si>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</si>
  <si>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</si>
  <si>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</si>
  <si>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</si>
  <si>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</si>
  <si>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</si>
  <si>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</si>
  <si>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</si>
  <si>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</si>
  <si>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</si>
  <si>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</si>
  <si>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</si>
  <si>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</si>
  <si>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</si>
  <si>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</si>
  <si>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</si>
  <si>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</si>
  <si>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</si>
  <si>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</si>
  <si>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</si>
  <si>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</si>
  <si>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</si>
  <si>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</si>
  <si>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</si>
  <si>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</si>
  <si>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</si>
  <si>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</si>
  <si>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</si>
  <si>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</si>
  <si>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</si>
  <si>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</si>
  <si>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</si>
  <si>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</si>
  <si>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</si>
  <si>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</si>
  <si>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</si>
  <si>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</si>
  <si>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</si>
  <si>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</si>
  <si>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</si>
  <si>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</si>
  <si>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</si>
  <si>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</si>
  <si>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</si>
  <si>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</si>
  <si>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</si>
  <si>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</si>
  <si>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</si>
  <si>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</si>
  <si>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</si>
  <si>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</si>
  <si>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</si>
  <si>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</si>
  <si>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</si>
  <si>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</si>
  <si>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</si>
  <si>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</si>
  <si>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</si>
  <si>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</si>
  <si>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</si>
  <si>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</si>
  <si>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</si>
  <si>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</si>
  <si>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</si>
  <si>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</si>
  <si>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</si>
  <si>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</si>
  <si>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</si>
  <si>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</si>
  <si>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</si>
  <si>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</si>
  <si>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</si>
  <si>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</si>
  <si>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</si>
  <si>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</si>
  <si>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</si>
  <si>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</si>
  <si>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</si>
  <si>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</si>
  <si>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</si>
  <si>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</si>
  <si>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</si>
  <si>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</si>
  <si>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</si>
  <si>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</si>
  <si>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</si>
  <si>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</si>
  <si>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</si>
  <si>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</si>
  <si>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</si>
  <si>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</si>
  <si>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</si>
  <si>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</si>
  <si>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</si>
  <si>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</si>
  <si>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</si>
  <si>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</si>
  <si>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</si>
  <si>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</si>
  <si>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</si>
  <si>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</si>
  <si>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</si>
  <si>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</si>
  <si>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</si>
  <si>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</si>
  <si>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</si>
  <si>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</si>
  <si>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</si>
  <si>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</si>
  <si>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</si>
  <si>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</si>
  <si>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</si>
  <si>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</si>
  <si>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</si>
  <si>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</si>
  <si>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</si>
  <si>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</si>
  <si>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</si>
  <si>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</si>
  <si>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</si>
  <si>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</si>
  <si>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</si>
  <si>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</si>
  <si>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</si>
  <si>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</si>
  <si>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</si>
  <si>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</si>
  <si>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</si>
  <si>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</si>
  <si>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</si>
  <si>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</si>
  <si>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</si>
  <si>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</si>
  <si>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</si>
  <si>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</si>
  <si>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</si>
  <si>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</si>
  <si>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</si>
  <si>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</si>
  <si>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</si>
  <si>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</si>
  <si>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</si>
  <si>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</si>
  <si>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</si>
  <si>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</si>
  <si>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</si>
  <si>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</si>
  <si>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</si>
  <si>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</si>
  <si>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</si>
  <si>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</si>
  <si>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</si>
  <si>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</si>
  <si>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</si>
  <si>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</si>
  <si>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</si>
  <si>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</si>
  <si>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</si>
  <si>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</si>
  <si>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</si>
  <si>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</si>
  <si>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</si>
  <si>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</si>
  <si>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</si>
  <si>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</si>
  <si>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</si>
  <si>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</si>
  <si>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</si>
  <si>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</si>
  <si>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</si>
  <si>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</si>
  <si>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</si>
  <si>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</si>
  <si>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</si>
  <si>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</si>
  <si>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</si>
  <si>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</si>
  <si>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</si>
  <si>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</si>
  <si>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</si>
  <si>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</si>
  <si>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</si>
  <si>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</si>
  <si>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</si>
  <si>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</si>
  <si>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</si>
  <si>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</si>
  <si>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</si>
  <si>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</si>
  <si>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</si>
  <si>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</si>
  <si>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</si>
  <si>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</si>
  <si>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</si>
  <si>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</si>
  <si>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</si>
  <si>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</si>
  <si>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</si>
  <si>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</si>
  <si>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</si>
  <si>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</si>
  <si>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</si>
  <si>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</si>
  <si>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</si>
  <si>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</si>
  <si>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</si>
  <si>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</si>
  <si>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</si>
  <si>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</si>
  <si>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</si>
  <si>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</si>
  <si>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</si>
  <si>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</si>
  <si>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</si>
  <si>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</si>
  <si>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</si>
  <si>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</si>
  <si>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</si>
  <si>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</si>
  <si>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</si>
  <si>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</si>
  <si>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</si>
  <si>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</si>
  <si>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</si>
  <si>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</si>
  <si>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</si>
  <si>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</si>
  <si>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</si>
  <si>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</si>
  <si>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</si>
  <si>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</si>
  <si>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</si>
  <si>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</si>
  <si>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</si>
  <si>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</si>
  <si>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</si>
  <si>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</si>
  <si>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</si>
  <si>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</si>
  <si>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</si>
  <si>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</si>
  <si>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</si>
  <si>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</si>
  <si>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</si>
  <si>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</si>
  <si>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</si>
  <si>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</si>
  <si>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</si>
  <si>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</si>
  <si>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</si>
  <si>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</si>
  <si>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</si>
  <si>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</si>
  <si>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</si>
  <si>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</si>
  <si>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</si>
  <si>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</si>
  <si>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</si>
  <si>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</si>
  <si>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</si>
  <si>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</si>
  <si>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</si>
  <si>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</si>
  <si>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</si>
  <si>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</si>
  <si>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</si>
  <si>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</si>
  <si>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</si>
  <si>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</si>
  <si>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</si>
  <si>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</si>
  <si>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</si>
  <si>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</si>
  <si>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</si>
  <si>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</si>
  <si>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</si>
  <si>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</si>
  <si>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</si>
  <si>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</si>
  <si>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</si>
  <si>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</si>
  <si>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</si>
  <si>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</si>
  <si>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</si>
  <si>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</si>
  <si>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</si>
  <si>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</si>
  <si>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</si>
  <si>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</si>
  <si>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</si>
  <si>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</si>
  <si>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</si>
  <si>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</si>
  <si>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</si>
  <si>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</si>
  <si>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</si>
  <si>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</si>
  <si>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</si>
  <si>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</si>
  <si>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</si>
  <si>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</si>
  <si>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</si>
  <si>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</si>
  <si>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</si>
  <si>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</si>
  <si>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</si>
  <si>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</si>
  <si>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</si>
  <si>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</si>
  <si>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</si>
  <si>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</si>
  <si>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</si>
  <si>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</si>
  <si>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</si>
  <si>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</si>
  <si>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</si>
  <si>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</si>
  <si>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</si>
  <si>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</si>
  <si>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</si>
  <si>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</si>
  <si>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</si>
  <si>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</si>
  <si>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</si>
  <si>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</si>
  <si>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</si>
  <si>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</si>
  <si>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</si>
  <si>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</si>
  <si>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</si>
  <si>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</si>
  <si>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</si>
  <si>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</si>
  <si>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</si>
  <si>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</si>
  <si>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</si>
  <si>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</si>
  <si>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</si>
  <si>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</si>
  <si>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</si>
  <si>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</si>
  <si>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</si>
  <si>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</si>
  <si>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</si>
  <si>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</si>
  <si>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</si>
  <si>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</si>
  <si>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</si>
  <si>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</si>
  <si>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</si>
  <si>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</si>
  <si>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</si>
  <si>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</si>
  <si>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</si>
  <si>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</si>
  <si>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</si>
  <si>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</si>
  <si>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</si>
  <si>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</si>
  <si>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</si>
  <si>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</si>
  <si>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</si>
  <si>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</si>
  <si>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</si>
  <si>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</si>
  <si>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</si>
  <si>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</si>
  <si>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</si>
  <si>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</si>
  <si>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</si>
  <si>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</si>
  <si>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</si>
  <si>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</si>
  <si>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</si>
  <si>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</si>
  <si>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</si>
  <si>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</si>
  <si>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</si>
  <si>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</si>
  <si>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</si>
  <si>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</si>
  <si>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</si>
  <si>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</si>
  <si>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</si>
  <si>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</si>
  <si>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</si>
  <si>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</si>
  <si>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</si>
  <si>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</si>
  <si>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</si>
  <si>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</si>
  <si>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</si>
  <si>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</si>
  <si>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</si>
  <si>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</si>
  <si>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</si>
  <si>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</si>
  <si>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</si>
  <si>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</si>
  <si>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</si>
  <si>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</si>
  <si>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</si>
  <si>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</si>
  <si>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</si>
  <si>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</si>
  <si>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</si>
  <si>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</si>
  <si>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</si>
  <si>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</si>
  <si>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</si>
  <si>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</si>
  <si>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</si>
  <si>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</si>
  <si>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</si>
  <si>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</si>
  <si>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</si>
  <si>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</si>
  <si>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</si>
  <si>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</si>
  <si>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</si>
  <si>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</si>
  <si>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</si>
  <si>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</si>
  <si>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</si>
  <si>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</si>
  <si>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</si>
  <si>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</si>
  <si>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</si>
  <si>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</si>
  <si>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</si>
  <si>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</si>
  <si>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</si>
  <si>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</si>
  <si>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</si>
  <si>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</si>
  <si>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</si>
  <si>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</si>
  <si>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</si>
  <si>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</si>
  <si>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</si>
  <si>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</si>
  <si>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</si>
  <si>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</si>
  <si>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</si>
  <si>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</si>
  <si>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</si>
  <si>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</si>
  <si>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</si>
  <si>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</si>
  <si>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</si>
  <si>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</si>
  <si>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</si>
  <si>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</si>
  <si>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</si>
  <si>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</si>
  <si>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</si>
  <si>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</si>
  <si>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</si>
  <si>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</si>
  <si>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</si>
  <si>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</si>
  <si>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</si>
  <si>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</si>
  <si>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</si>
  <si>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</si>
  <si>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</si>
  <si>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</si>
  <si>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</si>
  <si>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</si>
  <si>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</si>
  <si>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</si>
  <si>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</si>
  <si>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</si>
  <si>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</si>
  <si>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</si>
  <si>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</si>
  <si>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</si>
  <si>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</si>
  <si>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</si>
  <si>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</si>
  <si>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</si>
  <si>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</si>
  <si>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</si>
  <si>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</si>
  <si>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</si>
  <si>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</si>
  <si>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</si>
  <si>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</si>
  <si>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</si>
  <si>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</si>
  <si>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</si>
  <si>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</si>
  <si>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</si>
  <si>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</si>
  <si>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</si>
  <si>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</si>
  <si>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</si>
  <si>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</si>
  <si>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</si>
  <si>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</si>
  <si>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</si>
  <si>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</si>
  <si>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</si>
  <si>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</si>
  <si>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</si>
  <si>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</si>
  <si>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</si>
  <si>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</si>
  <si>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</si>
  <si>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</si>
  <si>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</si>
  <si>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</si>
  <si>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</si>
  <si>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</si>
  <si>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</si>
  <si>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</si>
  <si>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</si>
  <si>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</si>
  <si>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</si>
  <si>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</si>
  <si>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</si>
  <si>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</si>
  <si>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</si>
  <si>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</si>
  <si>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</si>
  <si>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</si>
  <si>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</si>
  <si>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</si>
  <si>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</si>
  <si>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</si>
  <si>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</si>
  <si>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</si>
  <si>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</si>
  <si>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</si>
  <si>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</si>
  <si>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</si>
  <si>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</si>
  <si>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</si>
  <si>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</si>
  <si>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</si>
  <si>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</si>
  <si>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</si>
  <si>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</si>
  <si>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</si>
  <si>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</si>
  <si>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</si>
  <si>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</si>
  <si>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</si>
  <si>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</si>
  <si>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</si>
  <si>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</si>
  <si>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</si>
  <si>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</si>
  <si>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</si>
  <si>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</si>
  <si>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</si>
  <si>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</si>
  <si>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</si>
  <si>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</si>
  <si>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</si>
  <si>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</si>
  <si>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</si>
  <si>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</si>
  <si>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</si>
  <si>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</si>
  <si>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</si>
  <si>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</si>
  <si>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</si>
  <si>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</si>
  <si>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</si>
  <si>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</si>
  <si>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</si>
  <si>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</si>
  <si>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</si>
  <si>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</si>
  <si>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</si>
  <si>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</si>
  <si>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</si>
  <si>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</si>
  <si>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</si>
  <si>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</si>
  <si>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</si>
  <si>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</si>
  <si>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</si>
  <si>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</si>
  <si>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</si>
  <si>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</si>
  <si>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</si>
  <si>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</si>
  <si>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</si>
  <si>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</si>
  <si>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</si>
  <si>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</si>
  <si>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</si>
  <si>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</si>
  <si>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</si>
  <si>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</si>
  <si>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</si>
  <si>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</si>
  <si>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</si>
  <si>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</si>
  <si>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</si>
  <si>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</si>
  <si>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</si>
  <si>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</si>
  <si>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</si>
  <si>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</si>
  <si>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</si>
  <si>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</si>
  <si>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</si>
  <si>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</si>
  <si>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</si>
  <si>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</si>
  <si>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</si>
  <si>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</si>
  <si>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</si>
  <si>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</si>
  <si>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</si>
  <si>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</si>
  <si>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</si>
  <si>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</si>
  <si>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</si>
  <si>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</si>
  <si>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</si>
  <si>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</si>
  <si>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</si>
  <si>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</si>
  <si>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</si>
  <si>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</si>
  <si>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</si>
  <si>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</si>
  <si>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</si>
  <si>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</si>
  <si>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</si>
  <si>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</si>
  <si>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</si>
  <si>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</si>
  <si>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</si>
  <si>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</si>
  <si>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</si>
  <si>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</si>
  <si>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</si>
  <si>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</si>
  <si>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</si>
  <si>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</si>
  <si>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</si>
  <si>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</si>
  <si>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</si>
  <si>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</si>
  <si>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</si>
  <si>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</si>
  <si>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</si>
  <si>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</si>
  <si>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</si>
  <si>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</si>
  <si>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</si>
  <si>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</si>
  <si>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</si>
  <si>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</si>
  <si>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</si>
  <si>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</si>
  <si>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</si>
  <si>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</si>
  <si>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</si>
  <si>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</si>
  <si>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</si>
  <si>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</si>
  <si>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</si>
  <si>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</si>
  <si>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</si>
  <si>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</si>
  <si>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</si>
  <si>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</si>
  <si>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</si>
  <si>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</si>
  <si>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</si>
  <si>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</si>
  <si>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</si>
  <si>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</si>
  <si>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</si>
  <si>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</si>
  <si>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</si>
  <si>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</si>
  <si>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</si>
  <si>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</si>
  <si>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</si>
  <si>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</si>
  <si>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</si>
  <si>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</si>
  <si>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</si>
  <si>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</si>
  <si>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</si>
  <si>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</si>
  <si>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</si>
  <si>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</si>
  <si>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</si>
  <si>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</si>
  <si>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</si>
  <si>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</si>
  <si>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</si>
  <si>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</si>
  <si>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</si>
  <si>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</si>
  <si>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</si>
  <si>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</si>
  <si>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</si>
  <si>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</si>
  <si>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</si>
  <si>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</si>
  <si>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</si>
  <si>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</si>
  <si>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</si>
  <si>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</si>
  <si>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</si>
  <si>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</si>
  <si>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</si>
  <si>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</si>
  <si>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</si>
  <si>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</si>
  <si>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</si>
  <si>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</si>
  <si>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</si>
  <si>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</si>
  <si>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</si>
  <si>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</si>
  <si>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</si>
  <si>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</si>
  <si>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</si>
  <si>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</si>
  <si>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</si>
  <si>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</si>
  <si>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</si>
  <si>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</si>
  <si>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</si>
  <si>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</si>
  <si>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</si>
  <si>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</si>
  <si>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</si>
  <si>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</si>
  <si>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</si>
  <si>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</si>
  <si>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</si>
  <si>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</si>
  <si>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</si>
  <si>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</si>
  <si>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</si>
  <si>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</si>
  <si>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</si>
  <si>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</si>
  <si>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</si>
  <si>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</si>
  <si>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</si>
  <si>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</si>
  <si>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</si>
  <si>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</si>
  <si>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</si>
  <si>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</si>
  <si>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</si>
  <si>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</si>
  <si>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</si>
  <si>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</si>
  <si>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</si>
  <si>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</si>
  <si>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</si>
  <si>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</si>
  <si>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</si>
  <si>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</si>
  <si>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</si>
  <si>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</si>
  <si>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</si>
  <si>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</si>
  <si>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</si>
  <si>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</si>
  <si>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</si>
  <si>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</si>
  <si>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</si>
  <si>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</si>
  <si>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</si>
  <si>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</si>
  <si>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</si>
  <si>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</si>
  <si>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</si>
  <si>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</si>
  <si>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</si>
  <si>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</si>
  <si>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</si>
  <si>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</si>
  <si>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</si>
  <si>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</si>
  <si>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</si>
  <si>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</si>
  <si>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</si>
  <si>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</si>
  <si>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</si>
  <si>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</si>
  <si>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</si>
  <si>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</si>
  <si>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</si>
  <si>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</si>
  <si>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</si>
  <si>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</si>
  <si>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</si>
  <si>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</si>
  <si>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</si>
  <si>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</si>
  <si>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</si>
  <si>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</si>
  <si>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</si>
  <si>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</si>
  <si>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</si>
  <si>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</si>
  <si>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</si>
  <si>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</si>
  <si>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</si>
  <si>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</si>
  <si>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</si>
  <si>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</si>
  <si>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</si>
  <si>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</si>
  <si>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</si>
  <si>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</si>
  <si>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</si>
  <si>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</si>
  <si>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</si>
  <si>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</si>
  <si>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</si>
  <si>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</si>
  <si>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</si>
  <si>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</si>
  <si>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</si>
  <si>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</si>
  <si>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</si>
  <si>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</si>
  <si>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</si>
  <si>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</si>
  <si>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</si>
  <si>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</si>
  <si>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</si>
  <si>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</si>
  <si>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</si>
  <si>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</si>
  <si>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</si>
  <si>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</si>
  <si>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</si>
  <si>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</si>
  <si>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</si>
  <si>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</si>
  <si>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</si>
  <si>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</si>
  <si>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</si>
  <si>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</si>
  <si>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</si>
  <si>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</si>
  <si>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</si>
  <si>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</si>
  <si>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</si>
  <si>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</si>
  <si>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</si>
  <si>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</si>
  <si>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</si>
  <si>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</si>
  <si>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</si>
  <si>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</si>
  <si>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</si>
  <si>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</si>
  <si>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</si>
  <si>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</si>
  <si>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</si>
  <si>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</si>
  <si>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</si>
  <si>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</si>
  <si>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</si>
  <si>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</si>
  <si>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</si>
  <si>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</si>
  <si>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</si>
  <si>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</si>
  <si>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</si>
  <si>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</si>
  <si>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</si>
  <si>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</si>
  <si>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</si>
  <si>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</si>
  <si>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</si>
  <si>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</si>
  <si>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</si>
  <si>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</si>
  <si>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</si>
  <si>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</si>
  <si>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</si>
  <si>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</si>
  <si>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</si>
  <si>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</si>
  <si>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</si>
  <si>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</si>
  <si>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</si>
  <si>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</si>
  <si>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</si>
  <si>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</si>
  <si>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</si>
  <si>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</si>
  <si>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</si>
  <si>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</si>
  <si>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</si>
  <si>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</si>
  <si>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</si>
  <si>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</si>
  <si>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</si>
  <si>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</si>
  <si>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</si>
  <si>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</si>
  <si>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</si>
  <si>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</si>
  <si>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</si>
  <si>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</si>
  <si>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</si>
  <si>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</si>
  <si>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</si>
  <si>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</si>
  <si>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</si>
  <si>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</si>
  <si>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</si>
  <si>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</si>
  <si>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</si>
  <si>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</si>
  <si>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</si>
  <si>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</si>
  <si>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</si>
  <si>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</si>
  <si>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</si>
  <si>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</si>
  <si>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</si>
  <si>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</si>
  <si>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</si>
  <si>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</si>
  <si>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</si>
  <si>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</si>
  <si>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</si>
  <si>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</si>
  <si>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</si>
  <si>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</si>
  <si>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</si>
  <si>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</si>
  <si>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</si>
  <si>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</si>
  <si>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</si>
  <si>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</si>
  <si>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</si>
  <si>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</si>
  <si>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</si>
  <si>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</si>
  <si>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</si>
  <si>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</si>
  <si>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</si>
  <si>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</si>
  <si>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</si>
  <si>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</si>
  <si>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</si>
  <si>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</si>
  <si>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</si>
  <si>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</si>
  <si>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</si>
  <si>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</si>
  <si>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</si>
  <si>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</si>
  <si>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</si>
  <si>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</si>
  <si>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</si>
  <si>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</si>
  <si>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</si>
  <si>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</si>
  <si>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</si>
  <si>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</si>
  <si>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</si>
  <si>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</si>
  <si>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</si>
  <si>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</si>
  <si>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</si>
  <si>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</si>
  <si>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</si>
  <si>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</si>
  <si>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</si>
  <si>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</si>
  <si>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</si>
  <si>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</si>
  <si>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</si>
  <si>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</si>
  <si>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</si>
  <si>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</si>
  <si>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</si>
  <si>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</si>
  <si>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</si>
  <si>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</si>
  <si>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</si>
  <si>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</si>
  <si>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</si>
  <si>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</si>
  <si>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</si>
  <si>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</si>
  <si>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</si>
  <si>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</si>
  <si>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</si>
  <si>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</si>
  <si>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</si>
  <si>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</si>
  <si>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</si>
  <si>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</si>
  <si>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</si>
  <si>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</si>
  <si>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</si>
  <si>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</si>
  <si>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</si>
  <si>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</si>
  <si>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</si>
  <si>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</si>
  <si>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</si>
  <si>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</si>
  <si>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</si>
  <si>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</si>
  <si>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</si>
  <si>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</si>
  <si>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</si>
  <si>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</si>
  <si>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</si>
  <si>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</si>
  <si>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</si>
  <si>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</si>
  <si>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</si>
  <si>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</si>
  <si>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</si>
  <si>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</si>
  <si>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</si>
  <si>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</si>
  <si>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</si>
  <si>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</si>
  <si>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</si>
  <si>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</si>
  <si>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</si>
  <si>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</si>
  <si>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</si>
  <si>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</si>
  <si>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</si>
  <si>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</si>
  <si>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</si>
  <si>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</si>
  <si>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</si>
  <si>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</si>
  <si>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</si>
  <si>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</si>
  <si>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</si>
  <si>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</si>
  <si>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</si>
  <si>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</si>
  <si>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</si>
  <si>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</si>
  <si>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</si>
  <si>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</si>
  <si>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</si>
  <si>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</si>
  <si>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</si>
  <si>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</si>
  <si>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</si>
  <si>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</si>
  <si>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</si>
  <si>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</si>
  <si>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</si>
  <si>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</si>
  <si>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</si>
  <si>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</si>
  <si>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</si>
  <si>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</si>
  <si>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</si>
  <si>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</si>
  <si>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</si>
  <si>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</si>
  <si>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</si>
  <si>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</si>
  <si>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</si>
  <si>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</si>
  <si>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</si>
  <si>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</si>
  <si>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</si>
  <si>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</si>
  <si>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</si>
  <si>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</si>
  <si>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</si>
  <si>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</si>
  <si>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</si>
  <si>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</si>
  <si>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</si>
  <si>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</si>
  <si>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</si>
  <si>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</si>
  <si>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</si>
  <si>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</si>
  <si>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</si>
  <si>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</si>
  <si>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</si>
  <si>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</si>
  <si>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</si>
  <si>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</si>
  <si>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</si>
  <si>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</si>
  <si>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</si>
  <si>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</si>
  <si>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</si>
  <si>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</si>
  <si>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</si>
  <si>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</si>
  <si>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</si>
  <si>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</si>
  <si>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</si>
  <si>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</si>
  <si>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</si>
  <si>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</si>
  <si>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</si>
  <si>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</si>
  <si>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</si>
  <si>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</si>
  <si>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</si>
  <si>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</si>
  <si>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</si>
  <si>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</si>
  <si>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</si>
  <si>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</si>
  <si>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</si>
  <si>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</si>
  <si>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</si>
  <si>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</si>
  <si>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</si>
  <si>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</si>
  <si>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</si>
  <si>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</si>
  <si>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</si>
  <si>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</si>
  <si>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</si>
  <si>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</si>
  <si>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</si>
  <si>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</si>
  <si>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</si>
  <si>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</si>
  <si>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</si>
  <si>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</si>
  <si>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</si>
  <si>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</si>
  <si>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</si>
  <si>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</si>
  <si>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</si>
  <si>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</si>
  <si>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</si>
  <si>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</si>
  <si>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</si>
  <si>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</si>
  <si>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</si>
  <si>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</si>
  <si>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</si>
  <si>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</si>
  <si>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</si>
  <si>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</si>
  <si>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</si>
  <si>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</si>
  <si>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</si>
  <si>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</si>
  <si>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</si>
  <si>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</si>
  <si>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</si>
  <si>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</si>
  <si>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</si>
  <si>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</si>
  <si>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</si>
  <si>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</si>
  <si>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</si>
  <si>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</si>
  <si>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</si>
  <si>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</si>
  <si>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</si>
  <si>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</si>
  <si>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</si>
  <si>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</si>
  <si>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</si>
  <si>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</si>
  <si>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</si>
  <si>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</si>
  <si>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</si>
  <si>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</si>
  <si>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</si>
  <si>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</si>
  <si>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</si>
  <si>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</si>
  <si>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</si>
  <si>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</si>
  <si>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</si>
  <si>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</si>
  <si>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</si>
  <si>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</si>
  <si>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</si>
  <si>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</si>
  <si>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</si>
  <si>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</si>
  <si>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</si>
  <si>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</si>
  <si>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</si>
  <si>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</si>
  <si>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</si>
  <si>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</si>
  <si>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</si>
  <si>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</si>
  <si>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</si>
  <si>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</si>
  <si>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</si>
  <si>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</si>
  <si>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</si>
  <si>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</si>
  <si>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</si>
  <si>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</si>
  <si>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</si>
  <si>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</si>
  <si>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</si>
  <si>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</si>
  <si>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</si>
  <si>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</si>
  <si>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</si>
  <si>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</si>
  <si>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</si>
  <si>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</si>
  <si>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</si>
  <si>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</si>
  <si>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</si>
  <si>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</si>
  <si>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</si>
  <si>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</si>
  <si>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</si>
  <si>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</si>
  <si>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</si>
  <si>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</si>
  <si>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</si>
  <si>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</si>
  <si>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</si>
  <si>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</si>
  <si>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</si>
  <si>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</si>
  <si>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</si>
  <si>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</si>
  <si>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</si>
  <si>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</si>
  <si>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</si>
  <si>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</si>
  <si>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</si>
  <si>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</si>
  <si>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</si>
  <si>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</si>
  <si>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</si>
  <si>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</si>
  <si>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</si>
  <si>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</si>
  <si>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</si>
  <si>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</si>
  <si>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</si>
  <si>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</si>
  <si>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</si>
  <si>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</si>
  <si>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</si>
  <si>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</si>
  <si>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</si>
  <si>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</si>
  <si>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</si>
  <si>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</si>
  <si>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</si>
  <si>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</si>
  <si>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</si>
  <si>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</si>
  <si>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</si>
  <si>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</si>
  <si>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</si>
  <si>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</si>
  <si>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</si>
  <si>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</si>
  <si>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</si>
  <si>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</si>
  <si>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</si>
  <si>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</si>
  <si>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</si>
  <si>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</si>
  <si>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</si>
  <si>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</si>
  <si>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</si>
  <si>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</si>
  <si>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</si>
  <si>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</si>
  <si>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</si>
  <si>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</si>
  <si>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</si>
  <si>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</si>
  <si>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</si>
  <si>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</si>
  <si>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</si>
  <si>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</si>
  <si>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</si>
  <si>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</si>
  <si>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</si>
  <si>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</si>
  <si>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</si>
  <si>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</si>
  <si>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</si>
  <si>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</si>
  <si>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</si>
  <si>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</si>
  <si>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</si>
  <si>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</si>
  <si>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</si>
  <si>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</si>
  <si>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</si>
  <si>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</si>
  <si>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</si>
  <si>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</si>
  <si>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</si>
  <si>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</si>
  <si>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</si>
  <si>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</si>
  <si>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</si>
  <si>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</si>
  <si>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</si>
  <si>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</si>
  <si>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</si>
  <si>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</si>
  <si>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</si>
  <si>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</si>
  <si>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</si>
  <si>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</si>
  <si>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</si>
  <si>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</si>
  <si>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</si>
  <si>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</si>
  <si>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</si>
  <si>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</si>
  <si>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</si>
  <si>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</si>
  <si>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</si>
  <si>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</si>
  <si>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</si>
  <si>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</si>
  <si>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</si>
  <si>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</si>
  <si>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</si>
  <si>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</si>
  <si>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</si>
  <si>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</si>
  <si>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</si>
  <si>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</si>
  <si>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</si>
  <si>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</si>
  <si>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</si>
  <si>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</si>
  <si>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</si>
  <si>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</si>
  <si>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</si>
  <si>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</si>
  <si>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</si>
  <si>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</si>
  <si>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</si>
  <si>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</si>
  <si>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</si>
  <si>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</si>
  <si>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</si>
  <si>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</si>
  <si>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</si>
  <si>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</si>
  <si>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</si>
  <si>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</si>
  <si>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</si>
  <si>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</si>
  <si>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</si>
  <si>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</si>
  <si>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</si>
  <si>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</si>
  <si>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</si>
  <si>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</si>
  <si>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</si>
  <si>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</si>
  <si>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</si>
  <si>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</si>
  <si>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</si>
  <si>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</si>
  <si>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</si>
  <si>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</si>
  <si>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</si>
  <si>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</si>
  <si>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</si>
  <si>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</si>
  <si>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</si>
  <si>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</si>
  <si>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</si>
  <si>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</si>
  <si>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</si>
  <si>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</si>
  <si>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</si>
  <si>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</si>
  <si>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</si>
  <si>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</si>
  <si>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</si>
  <si>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</si>
  <si>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</si>
  <si>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</si>
  <si>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</si>
  <si>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</si>
  <si>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</si>
  <si>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</si>
  <si>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</si>
  <si>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</si>
  <si>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</si>
  <si>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</si>
  <si>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</si>
  <si>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</si>
  <si>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</si>
  <si>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</si>
  <si>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</si>
  <si>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</si>
  <si>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</si>
  <si>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</si>
  <si>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</si>
  <si>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</si>
  <si>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</si>
  <si>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</si>
  <si>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</si>
  <si>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</si>
  <si>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</si>
  <si>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</si>
  <si>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</si>
  <si>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</si>
  <si>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</si>
  <si>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</si>
  <si>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</si>
  <si>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</si>
  <si>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</si>
  <si>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</si>
  <si>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</si>
  <si>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</si>
  <si>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</si>
  <si>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</si>
  <si>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</si>
  <si>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</si>
  <si>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</si>
  <si>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</si>
  <si>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</si>
  <si>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</si>
  <si>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</si>
  <si>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</si>
  <si>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</si>
  <si>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</si>
  <si>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</si>
  <si>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</si>
  <si>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</si>
  <si>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</si>
  <si>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</si>
  <si>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</si>
  <si>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</si>
  <si>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</si>
  <si>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</si>
  <si>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</si>
  <si>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</si>
  <si>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</si>
  <si>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</si>
  <si>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</si>
  <si>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</si>
  <si>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</si>
  <si>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</si>
  <si>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</si>
  <si>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</si>
  <si>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</si>
  <si>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</si>
  <si>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</si>
  <si>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</si>
  <si>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</si>
  <si>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</si>
  <si>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</si>
  <si>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</si>
  <si>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</si>
  <si>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</si>
  <si>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</si>
  <si>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</si>
  <si>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</si>
  <si>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</si>
  <si>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</si>
  <si>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</si>
  <si>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</si>
  <si>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</si>
  <si>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</si>
  <si>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</si>
  <si>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</si>
  <si>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</si>
  <si>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</si>
  <si>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</si>
  <si>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</si>
  <si>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</si>
  <si>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</si>
  <si>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</si>
  <si>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</si>
  <si>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</si>
  <si>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</si>
  <si>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</si>
  <si>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</si>
  <si>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</si>
  <si>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</si>
  <si>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</si>
  <si>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</si>
  <si>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</si>
  <si>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</si>
  <si>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</si>
  <si>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</si>
  <si>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</si>
  <si>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</si>
  <si>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</si>
  <si>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</si>
  <si>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</si>
  <si>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</si>
  <si>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</si>
  <si>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</si>
  <si>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</si>
  <si>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</si>
  <si>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</si>
  <si>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</si>
  <si>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</si>
  <si>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</si>
  <si>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</si>
  <si>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</si>
  <si>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</si>
  <si>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</si>
  <si>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</si>
  <si>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</si>
  <si>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</si>
  <si>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</si>
  <si>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</si>
  <si>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</si>
  <si>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</si>
  <si>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</si>
  <si>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</si>
  <si>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</si>
  <si>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</si>
  <si>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</si>
  <si>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</si>
  <si>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</si>
  <si>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</si>
  <si>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</si>
  <si>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</si>
  <si>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</si>
  <si>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</si>
  <si>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</si>
  <si>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</si>
  <si>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</si>
  <si>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</si>
  <si>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</si>
  <si>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</si>
  <si>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</si>
  <si>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</si>
  <si>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</si>
  <si>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</si>
  <si>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</si>
  <si>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</si>
  <si>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</si>
  <si>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</si>
  <si>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</si>
  <si>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</si>
  <si>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</si>
  <si>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</si>
  <si>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</si>
  <si>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</si>
  <si>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</si>
  <si>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</si>
  <si>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</si>
  <si>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</si>
  <si>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</si>
  <si>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</si>
  <si>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</si>
  <si>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</si>
  <si>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</si>
  <si>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</si>
  <si>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</si>
  <si>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</si>
  <si>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</si>
  <si>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</si>
  <si>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</si>
  <si>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</si>
  <si>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</si>
  <si>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</si>
  <si>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</si>
  <si>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</si>
  <si>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</si>
  <si>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</si>
  <si>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</si>
  <si>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</si>
  <si>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</si>
  <si>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</si>
  <si>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</si>
  <si>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</si>
  <si>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</si>
  <si>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</si>
  <si>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</si>
  <si>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</si>
  <si>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</si>
  <si>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</si>
  <si>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</si>
  <si>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</si>
  <si>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</si>
  <si>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</si>
  <si>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</si>
  <si>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</si>
  <si>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</si>
  <si>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</si>
  <si>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</si>
  <si>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</si>
  <si>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</si>
  <si>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</si>
  <si>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</si>
  <si>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</si>
  <si>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</si>
  <si>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</si>
  <si>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</si>
  <si>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</si>
  <si>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</si>
  <si>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</si>
  <si>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</si>
  <si>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</si>
  <si>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</si>
  <si>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</si>
  <si>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</si>
  <si>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</si>
  <si>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</si>
  <si>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</si>
  <si>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</si>
  <si>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</si>
  <si>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</si>
  <si>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</si>
  <si>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</si>
  <si>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</si>
  <si>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</si>
  <si>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</si>
  <si>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</si>
  <si>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</si>
  <si>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</si>
  <si>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</si>
  <si>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</si>
  <si>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</si>
  <si>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</si>
  <si>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</si>
  <si>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</si>
  <si>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</si>
  <si>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</si>
  <si>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</si>
  <si>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</si>
  <si>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</si>
  <si>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</si>
  <si>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</si>
  <si>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</si>
  <si>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</si>
  <si>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</si>
  <si>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</si>
  <si>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</si>
  <si>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</si>
  <si>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</si>
  <si>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</si>
  <si>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</si>
  <si>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</si>
  <si>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</si>
  <si>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</si>
  <si>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</si>
  <si>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</si>
  <si>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</si>
  <si>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</si>
  <si>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</si>
  <si>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</si>
  <si>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</si>
  <si>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</si>
  <si>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</si>
  <si>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</si>
  <si>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</si>
  <si>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</si>
  <si>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</si>
  <si>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</si>
  <si>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</si>
  <si>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</si>
  <si>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</si>
  <si>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</si>
  <si>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</si>
  <si>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</si>
  <si>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</si>
  <si>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</si>
  <si>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</si>
  <si>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</si>
  <si>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</si>
  <si>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</si>
  <si>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</si>
  <si>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</si>
  <si>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</si>
  <si>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</si>
  <si>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</si>
  <si>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</si>
  <si>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</si>
  <si>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</si>
  <si>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</si>
  <si>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</si>
  <si>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</si>
  <si>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</si>
  <si>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</si>
  <si>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</si>
  <si>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</si>
  <si>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</si>
  <si>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</si>
  <si>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</si>
  <si>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</si>
  <si>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</si>
  <si>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</si>
  <si>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</si>
  <si>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</si>
  <si>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</si>
  <si>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</si>
  <si>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</si>
  <si>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</si>
  <si>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</si>
  <si>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</si>
  <si>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</si>
  <si>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</si>
  <si>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</si>
  <si>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</si>
  <si>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</si>
  <si>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</si>
  <si>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</si>
  <si>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</si>
  <si>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</si>
  <si>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</si>
  <si>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</si>
  <si>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</si>
  <si>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</si>
  <si>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</si>
  <si>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</si>
  <si>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</si>
  <si>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</si>
  <si>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</si>
  <si>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</si>
  <si>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</si>
  <si>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</si>
  <si>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</si>
  <si>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</si>
  <si>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</si>
  <si>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</si>
  <si>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</si>
  <si>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</si>
  <si>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</si>
  <si>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</si>
  <si>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</si>
  <si>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</si>
  <si>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</si>
  <si>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</si>
  <si>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</si>
  <si>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</si>
  <si>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</si>
  <si>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</si>
  <si>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</si>
  <si>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</si>
  <si>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</si>
  <si>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</si>
  <si>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</si>
  <si>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</si>
  <si>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</si>
  <si>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</si>
  <si>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</si>
  <si>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</si>
  <si>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</si>
  <si>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</si>
  <si>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</si>
  <si>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</si>
  <si>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</si>
  <si>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</si>
  <si>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</si>
  <si>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</si>
  <si>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</si>
  <si>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</si>
  <si>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</si>
  <si>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</si>
  <si>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</si>
  <si>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</si>
  <si>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</si>
  <si>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</si>
  <si>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</si>
  <si>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</si>
  <si>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</si>
  <si>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</si>
  <si>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</si>
  <si>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</si>
  <si>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</si>
  <si>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</si>
  <si>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</si>
  <si>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</si>
  <si>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</si>
  <si>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</si>
  <si>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</si>
  <si>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</si>
  <si>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</si>
  <si>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</si>
  <si>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</si>
  <si>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</si>
  <si>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</si>
  <si>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</si>
  <si>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</si>
  <si>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</si>
  <si>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</si>
  <si>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</si>
  <si>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</si>
  <si>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</si>
  <si>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</si>
  <si>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</si>
  <si>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</si>
  <si>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</si>
  <si>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</si>
  <si>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</si>
  <si>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</si>
  <si>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</si>
  <si>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</si>
  <si>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</si>
  <si>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</si>
  <si>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</si>
  <si>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</si>
  <si>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</si>
  <si>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</si>
  <si>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</si>
  <si>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</si>
  <si>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</si>
  <si>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</si>
  <si>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</si>
  <si>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</si>
  <si>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</si>
  <si>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</si>
  <si>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</si>
  <si>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</si>
  <si>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</si>
  <si>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</si>
  <si>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</si>
  <si>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</si>
  <si>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</si>
  <si>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</si>
  <si>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</si>
  <si>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</si>
  <si>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</si>
  <si>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</si>
  <si>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</si>
  <si>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</si>
  <si>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</si>
  <si>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</si>
  <si>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</si>
  <si>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</si>
  <si>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</si>
  <si>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</si>
  <si>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</si>
  <si>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</si>
  <si>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</si>
  <si>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</si>
  <si>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</si>
  <si>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</si>
  <si>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</si>
  <si>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</si>
  <si>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</si>
  <si>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</si>
  <si>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</si>
  <si>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</si>
  <si>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</si>
  <si>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</si>
  <si>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</si>
  <si>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</si>
  <si>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</si>
  <si>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</si>
  <si>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</si>
  <si>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</si>
  <si>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</si>
  <si>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</si>
  <si>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</si>
  <si>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</si>
  <si>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</si>
  <si>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</si>
  <si>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</si>
  <si>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</si>
  <si>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</si>
  <si>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</si>
  <si>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</si>
  <si>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</si>
  <si>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</si>
  <si>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</si>
  <si>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</si>
  <si>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</si>
  <si>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</si>
  <si>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</si>
  <si>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</si>
  <si>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</si>
  <si>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</si>
  <si>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</si>
  <si>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</si>
  <si>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</si>
  <si>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</si>
  <si>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</si>
  <si>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</si>
  <si>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</si>
  <si>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</si>
  <si>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</si>
  <si>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</si>
  <si>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</si>
  <si>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</si>
  <si>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</si>
  <si>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</si>
  <si>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</si>
  <si>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</si>
  <si>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</si>
  <si>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</si>
  <si>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</si>
  <si>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</si>
  <si>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</si>
  <si>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</si>
  <si>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</si>
  <si>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</si>
  <si>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</si>
  <si>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</si>
  <si>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</si>
  <si>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</si>
  <si>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</si>
  <si>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</si>
  <si>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</si>
  <si>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</si>
  <si>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</si>
  <si>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</si>
  <si>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</si>
  <si>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</si>
  <si>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</si>
  <si>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</si>
  <si>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</si>
  <si>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</si>
  <si>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</si>
  <si>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</si>
  <si>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</si>
  <si>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</si>
  <si>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</si>
  <si>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</si>
  <si>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</si>
  <si>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</si>
  <si>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</si>
  <si>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</si>
  <si>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</si>
  <si>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</si>
  <si>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</si>
  <si>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</si>
  <si>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</si>
  <si>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</si>
  <si>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</si>
  <si>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</si>
  <si>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</si>
  <si>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</si>
  <si>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</si>
  <si>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</si>
  <si>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</si>
  <si>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</si>
  <si>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</si>
  <si>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</si>
  <si>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</si>
  <si>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</si>
  <si>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</si>
  <si>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</si>
  <si>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</si>
  <si>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</si>
  <si>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</si>
  <si>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</si>
  <si>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</si>
  <si>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</si>
  <si>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</si>
  <si>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</si>
  <si>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</si>
  <si>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</si>
  <si>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</si>
  <si>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</si>
  <si>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</si>
  <si>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</si>
  <si>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</si>
  <si>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</si>
  <si>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</si>
  <si>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</si>
  <si>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</si>
  <si>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</si>
  <si>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</si>
  <si>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</si>
  <si>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</si>
  <si>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</si>
  <si>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</si>
  <si>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</si>
  <si>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</si>
  <si>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</si>
  <si>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</si>
  <si>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</si>
  <si>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</si>
  <si>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</si>
  <si>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</si>
  <si>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</si>
  <si>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</si>
  <si>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</si>
  <si>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</si>
  <si>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</si>
  <si>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</si>
  <si>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</si>
  <si>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</si>
  <si>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</si>
  <si>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</si>
  <si>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</si>
  <si>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</si>
  <si>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</si>
  <si>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</si>
  <si>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</si>
  <si>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</si>
  <si>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</si>
  <si>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</si>
  <si>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</si>
  <si>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</si>
  <si>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</si>
  <si>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</si>
  <si>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</si>
  <si>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</si>
  <si>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</si>
  <si>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</si>
  <si>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</si>
  <si>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</si>
  <si>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</si>
  <si>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</si>
  <si>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</si>
  <si>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</si>
  <si>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</si>
  <si>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</si>
  <si>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</si>
  <si>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</si>
  <si>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</si>
  <si>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</si>
  <si>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</si>
  <si>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</si>
  <si>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</si>
  <si>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</si>
  <si>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</si>
  <si>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</si>
  <si>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</si>
  <si>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</si>
  <si>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</si>
  <si>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</si>
  <si>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</si>
  <si>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</si>
  <si>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</si>
  <si>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</si>
  <si>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</si>
  <si>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</si>
  <si>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</si>
  <si>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</si>
  <si>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</si>
  <si>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</si>
  <si>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</si>
  <si>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</si>
  <si>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</si>
  <si>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</si>
  <si>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</si>
  <si>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</si>
  <si>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</si>
  <si>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</si>
  <si>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</si>
  <si>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</si>
  <si>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</si>
  <si>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</si>
  <si>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</si>
  <si>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</si>
  <si>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</si>
  <si>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</si>
  <si>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</si>
  <si>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</si>
  <si>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</si>
  <si>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</si>
  <si>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</si>
  <si>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</si>
  <si>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</si>
  <si>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</si>
  <si>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</si>
  <si>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</si>
  <si>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</si>
  <si>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</si>
  <si>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</si>
  <si>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</si>
  <si>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</si>
  <si>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</si>
  <si>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</si>
  <si>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</si>
  <si>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</si>
  <si>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</si>
  <si>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</si>
  <si>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</si>
  <si>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</si>
  <si>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</si>
  <si>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</si>
  <si>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</si>
  <si>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</si>
  <si>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</si>
  <si>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</si>
  <si>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</si>
  <si>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</si>
  <si>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</si>
  <si>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</si>
  <si>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</si>
  <si>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</si>
  <si>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</si>
  <si>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</si>
  <si>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</si>
  <si>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</si>
  <si>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</si>
  <si>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</si>
  <si>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</si>
  <si>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</si>
  <si>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</si>
  <si>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</si>
  <si>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</si>
  <si>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</si>
  <si>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</si>
  <si>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</si>
  <si>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</si>
  <si>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</si>
  <si>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</si>
  <si>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</si>
  <si>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</si>
  <si>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</si>
  <si>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</si>
  <si>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</si>
  <si>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</si>
  <si>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</si>
  <si>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</si>
  <si>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</si>
  <si>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</si>
  <si>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</si>
  <si>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</si>
  <si>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</si>
  <si>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</si>
  <si>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</si>
  <si>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</si>
  <si>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</si>
  <si>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</si>
  <si>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</si>
  <si>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</si>
  <si>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</si>
  <si>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</si>
  <si>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</si>
  <si>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</si>
  <si>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</si>
  <si>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</si>
  <si>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</si>
  <si>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</si>
  <si>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</si>
  <si>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</si>
  <si>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</si>
  <si>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</si>
  <si>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</si>
  <si>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</si>
  <si>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</si>
  <si>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</si>
  <si>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</si>
  <si>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</si>
  <si>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</si>
  <si>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</si>
  <si>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</si>
  <si>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</si>
  <si>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</si>
  <si>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</si>
  <si>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</si>
  <si>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</si>
  <si>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</si>
  <si>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</si>
  <si>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</si>
  <si>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</si>
  <si>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</si>
  <si>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</si>
  <si>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</si>
  <si>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</si>
  <si>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</si>
  <si>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</si>
  <si>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</si>
  <si>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</si>
  <si>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</si>
  <si>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</si>
  <si>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</si>
  <si>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</si>
  <si>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</si>
  <si>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</si>
  <si>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</si>
  <si>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</si>
  <si>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</si>
  <si>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</si>
  <si>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</si>
  <si>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</si>
  <si>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</si>
  <si>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</si>
  <si>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</si>
  <si>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</si>
  <si>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</si>
  <si>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</si>
  <si>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</si>
  <si>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</si>
  <si>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</si>
  <si>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</si>
  <si>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</si>
  <si>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</si>
  <si>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</si>
  <si>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</si>
  <si>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</si>
  <si>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</si>
  <si>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</si>
  <si>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</si>
  <si>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</si>
  <si>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</si>
  <si>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</si>
  <si>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</si>
  <si>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</si>
  <si>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</si>
  <si>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</si>
  <si>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</si>
  <si>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</si>
  <si>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</si>
  <si>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</si>
  <si>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</si>
  <si>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</si>
  <si>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</si>
  <si>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</si>
  <si>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</si>
  <si>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</si>
  <si>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</si>
  <si>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</si>
  <si>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</si>
  <si>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</si>
  <si>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</si>
  <si>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</si>
  <si>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</si>
  <si>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</si>
  <si>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</si>
  <si>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</si>
  <si>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</si>
  <si>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</si>
  <si>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</si>
  <si>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</si>
  <si>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</si>
  <si>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</si>
  <si>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</si>
  <si>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</si>
  <si>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</si>
  <si>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</si>
  <si>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</si>
  <si>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</si>
  <si>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</si>
  <si>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</si>
  <si>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</si>
  <si>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</si>
  <si>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</si>
  <si>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</si>
  <si>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</si>
  <si>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</si>
  <si>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</si>
  <si>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</si>
  <si>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</si>
  <si>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</si>
  <si>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</si>
  <si>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</si>
  <si>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</si>
  <si>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</si>
  <si>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</si>
  <si>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</si>
  <si>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</si>
  <si>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</si>
  <si>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</si>
  <si>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</si>
  <si>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</si>
  <si>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</si>
  <si>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</si>
  <si>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</si>
  <si>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</si>
  <si>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</si>
  <si>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</si>
  <si>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</si>
  <si>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</si>
  <si>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</si>
  <si>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</si>
  <si>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</si>
  <si>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</si>
  <si>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</si>
  <si>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</si>
  <si>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</si>
  <si>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</si>
  <si>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</si>
  <si>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</si>
  <si>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</si>
  <si>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</si>
  <si>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</si>
  <si>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</si>
  <si>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</si>
  <si>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</si>
  <si>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</si>
  <si>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</si>
  <si>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</si>
  <si>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</si>
  <si>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</si>
  <si>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</si>
  <si>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</si>
  <si>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</si>
  <si>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</si>
  <si>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</si>
  <si>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</si>
  <si>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</si>
  <si>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</si>
  <si>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</si>
  <si>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</si>
  <si>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</si>
  <si>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</si>
  <si>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</si>
  <si>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</si>
  <si>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</si>
  <si>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</si>
  <si>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</si>
  <si>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</si>
  <si>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</si>
  <si>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</si>
  <si>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</si>
  <si>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</si>
  <si>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</si>
  <si>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</si>
  <si>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</si>
  <si>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</si>
  <si>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</si>
  <si>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</si>
  <si>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</si>
  <si>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</si>
  <si>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</si>
  <si>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</si>
  <si>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</si>
  <si>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</si>
  <si>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</si>
  <si>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</si>
  <si>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</si>
  <si>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</si>
  <si>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</si>
  <si>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</si>
  <si>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</si>
  <si>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</si>
  <si>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</si>
  <si>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</si>
  <si>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</si>
  <si>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</si>
  <si>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</si>
  <si>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</si>
  <si>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</si>
  <si>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</si>
  <si>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</si>
  <si>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</si>
  <si>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</si>
  <si>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</si>
  <si>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</si>
  <si>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</si>
  <si>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</si>
  <si>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</si>
  <si>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</si>
  <si>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</si>
  <si>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</si>
  <si>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</si>
  <si>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</si>
  <si>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</si>
  <si>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</si>
  <si>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</si>
  <si>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</si>
  <si>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</si>
  <si>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</si>
  <si>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</si>
  <si>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</si>
  <si>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</si>
  <si>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</si>
  <si>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</si>
  <si>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</si>
  <si>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</si>
  <si>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</si>
  <si>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</si>
  <si>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</si>
  <si>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</si>
  <si>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</si>
  <si>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</si>
  <si>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</si>
  <si>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</si>
  <si>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</si>
  <si>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</si>
  <si>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</si>
  <si>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</si>
  <si>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</si>
  <si>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</si>
  <si>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</si>
  <si>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</si>
  <si>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</si>
  <si>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</si>
  <si>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</si>
  <si>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</si>
  <si>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</si>
  <si>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</si>
  <si>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</si>
  <si>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</si>
  <si>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</si>
  <si>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</si>
  <si>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</si>
  <si>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</si>
  <si>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</si>
  <si>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</si>
  <si>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</si>
  <si>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</si>
  <si>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</si>
  <si>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</si>
  <si>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</si>
  <si>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</si>
  <si>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</si>
  <si>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</si>
  <si>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</si>
  <si>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</si>
  <si>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</si>
  <si>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</si>
  <si>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</si>
  <si>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</si>
  <si>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</si>
  <si>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</si>
  <si>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</si>
  <si>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</si>
  <si>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</si>
  <si>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</si>
  <si>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</si>
  <si>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</si>
  <si>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</si>
  <si>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</si>
  <si>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</si>
  <si>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</si>
  <si>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</si>
  <si>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</si>
  <si>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</si>
  <si>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</si>
  <si>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</si>
  <si>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</si>
  <si>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</si>
  <si>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</si>
  <si>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</si>
  <si>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</si>
  <si>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</si>
  <si>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</si>
  <si>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</si>
  <si>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</si>
  <si>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</si>
  <si>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</si>
  <si>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</si>
  <si>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</si>
  <si>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</si>
  <si>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</si>
  <si>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</si>
  <si>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</si>
  <si>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</si>
  <si>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</si>
  <si>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</si>
  <si>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</si>
  <si>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</si>
  <si>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</si>
  <si>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</si>
  <si>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</si>
  <si>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</si>
  <si>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</si>
  <si>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</si>
  <si>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</si>
  <si>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</si>
  <si>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</si>
  <si>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</si>
  <si>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</si>
  <si>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</si>
  <si>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</si>
  <si>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</si>
  <si>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</si>
  <si>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</si>
  <si>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</si>
  <si>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</si>
  <si>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</si>
  <si>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</si>
  <si>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</si>
  <si>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</si>
  <si>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</si>
  <si>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</si>
  <si>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</si>
  <si>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</si>
  <si>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</si>
  <si>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</si>
  <si>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</si>
  <si>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</si>
  <si>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</si>
  <si>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</si>
  <si>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</si>
  <si>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</si>
  <si>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</si>
  <si>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</si>
  <si>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</si>
  <si>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</si>
  <si>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</si>
  <si>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</si>
  <si>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</si>
  <si>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</si>
  <si>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</si>
  <si>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</si>
  <si>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</si>
  <si>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</si>
  <si>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</si>
  <si>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</si>
  <si>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</si>
  <si>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</si>
  <si>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</si>
  <si>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</si>
  <si>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</si>
  <si>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</si>
  <si>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</si>
  <si>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</si>
  <si>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</si>
  <si>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</si>
  <si>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</si>
  <si>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</si>
  <si>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</si>
  <si>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</si>
  <si>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</si>
  <si>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</si>
  <si>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</si>
  <si>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</si>
  <si>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</si>
  <si>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</si>
  <si>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</si>
  <si>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</si>
  <si>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</si>
  <si>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</si>
  <si>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</si>
  <si>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</si>
  <si>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</si>
  <si>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</si>
  <si>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</si>
  <si>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</si>
  <si>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</si>
  <si>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</si>
  <si>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</si>
  <si>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</si>
  <si>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</si>
  <si>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</si>
  <si>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</si>
  <si>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</si>
  <si>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</si>
  <si>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</si>
  <si>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</si>
  <si>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</si>
  <si>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</si>
  <si>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</si>
  <si>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</si>
  <si>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</si>
  <si>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</si>
  <si>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</si>
  <si>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</si>
  <si>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</si>
  <si>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</si>
  <si>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</si>
  <si>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</si>
  <si>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</si>
  <si>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</si>
  <si>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</si>
  <si>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</si>
  <si>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</si>
  <si>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</si>
  <si>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</si>
  <si>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</si>
  <si>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</si>
  <si>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</si>
  <si>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</si>
  <si>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</si>
  <si>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</si>
  <si>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</si>
  <si>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</si>
  <si>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</si>
  <si>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</si>
  <si>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</si>
  <si>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</si>
  <si>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</si>
  <si>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</si>
  <si>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</si>
  <si>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</si>
  <si>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</si>
  <si>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</si>
  <si>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</si>
  <si>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</si>
  <si>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</si>
  <si>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</si>
  <si>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</si>
  <si>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</si>
  <si>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</si>
  <si>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</si>
  <si>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</si>
  <si>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</si>
  <si>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</si>
  <si>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</si>
  <si>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</si>
  <si>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</si>
  <si>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</si>
  <si>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</si>
  <si>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</si>
  <si>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</si>
  <si>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</si>
  <si>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</si>
  <si>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</si>
  <si>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</si>
  <si>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</si>
  <si>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</si>
  <si>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</si>
  <si>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</si>
  <si>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</si>
  <si>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</si>
  <si>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</si>
  <si>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</si>
  <si>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</si>
  <si>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</si>
  <si>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</si>
  <si>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</si>
  <si>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</si>
  <si>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</si>
  <si>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</si>
  <si>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</si>
  <si>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</si>
  <si>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</si>
  <si>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</si>
  <si>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</si>
  <si>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</si>
  <si>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</si>
  <si>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</si>
  <si>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</si>
  <si>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</si>
  <si>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</si>
  <si>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</si>
  <si>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</si>
  <si>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</si>
  <si>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</si>
  <si>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</si>
  <si>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</si>
  <si>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</si>
  <si>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</si>
  <si>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</si>
  <si>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</si>
  <si>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</si>
  <si>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</si>
  <si>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</si>
  <si>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</si>
  <si>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</si>
  <si>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</si>
  <si>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</si>
  <si>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</si>
  <si>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</si>
  <si>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</si>
  <si>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</si>
  <si>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</si>
  <si>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</si>
  <si>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</si>
  <si>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</si>
  <si>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</si>
  <si>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</si>
  <si>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</si>
  <si>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</si>
  <si>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</si>
  <si>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</si>
  <si>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</si>
  <si>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</si>
  <si>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</si>
  <si>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</si>
  <si>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</si>
  <si>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</si>
  <si>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</si>
  <si>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</si>
  <si>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</si>
  <si>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</si>
  <si>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</si>
  <si>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</si>
  <si>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</si>
  <si>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</si>
  <si>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</si>
  <si>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</si>
  <si>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</si>
  <si>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</si>
  <si>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</si>
  <si>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</si>
  <si>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</si>
  <si>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</si>
  <si>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</si>
  <si>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</si>
  <si>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</si>
  <si>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</si>
  <si>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</si>
  <si>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</si>
  <si>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</si>
  <si>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</si>
  <si>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</si>
  <si>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</si>
  <si>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</si>
  <si>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</si>
  <si>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</si>
  <si>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</si>
  <si>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</si>
  <si>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</si>
  <si>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</si>
  <si>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</si>
  <si>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</si>
  <si>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</si>
  <si>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</si>
  <si>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</si>
  <si>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</si>
  <si>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</si>
  <si>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</si>
  <si>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</si>
  <si>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</si>
  <si>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</si>
  <si>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</si>
  <si>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</si>
  <si>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</si>
  <si>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</si>
  <si>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</si>
  <si>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</si>
  <si>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</si>
  <si>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</si>
  <si>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</si>
  <si>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</si>
  <si>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</si>
  <si>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</si>
  <si>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</si>
  <si>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</si>
  <si>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</si>
  <si>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</si>
  <si>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</si>
  <si>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</si>
  <si>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</si>
  <si>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</si>
  <si>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</si>
  <si>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</si>
  <si>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</si>
  <si>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</si>
  <si>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</si>
  <si>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</si>
  <si>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</si>
  <si>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</si>
  <si>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</si>
  <si>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</si>
  <si>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</si>
  <si>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</si>
  <si>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</si>
  <si>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</si>
  <si>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</si>
  <si>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</si>
  <si>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</si>
  <si>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</si>
  <si>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</si>
  <si>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</si>
  <si>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</si>
  <si>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</si>
  <si>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</si>
  <si>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</si>
  <si>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</si>
  <si>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</si>
  <si>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</si>
  <si>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</si>
  <si>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</si>
  <si>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</si>
  <si>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</si>
  <si>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</si>
  <si>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</si>
  <si>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</si>
  <si>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</si>
  <si>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</si>
  <si>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</si>
  <si>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</si>
  <si>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</si>
  <si>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</si>
  <si>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</si>
  <si>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</si>
  <si>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</si>
  <si>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</si>
  <si>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</si>
  <si>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</si>
  <si>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</si>
  <si>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</si>
  <si>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</si>
  <si>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</si>
  <si>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</si>
  <si>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</si>
  <si>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</si>
  <si>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</si>
  <si>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</si>
  <si>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</si>
  <si>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</si>
  <si>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</si>
  <si>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</si>
  <si>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</si>
  <si>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</si>
  <si>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</si>
  <si>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</si>
  <si>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</si>
  <si>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</si>
  <si>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</si>
  <si>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</si>
  <si>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</si>
  <si>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</si>
  <si>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</si>
  <si>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</si>
  <si>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</si>
  <si>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</si>
  <si>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</si>
  <si>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</si>
  <si>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</si>
  <si>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</si>
  <si>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</si>
  <si>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</si>
  <si>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</si>
  <si>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</si>
  <si>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</si>
  <si>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</si>
  <si>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</si>
  <si>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</si>
  <si>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</si>
  <si>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</si>
  <si>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</si>
  <si>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</si>
  <si>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</si>
  <si>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</si>
  <si>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</si>
  <si>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</si>
  <si>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</si>
  <si>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</si>
  <si>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</si>
  <si>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</si>
  <si>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</si>
  <si>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</si>
  <si>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</si>
  <si>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</si>
  <si>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</si>
  <si>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</si>
  <si>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</si>
  <si>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</si>
  <si>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</si>
  <si>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</si>
  <si>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</si>
  <si>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</si>
  <si>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</si>
  <si>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</si>
  <si>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</si>
  <si>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</si>
  <si>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</si>
  <si>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</si>
  <si>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</si>
  <si>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</si>
  <si>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</si>
  <si>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</si>
  <si>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</si>
  <si>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</si>
  <si>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</si>
  <si>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</si>
  <si>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</si>
  <si>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</si>
  <si>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</si>
  <si>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</si>
  <si>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</si>
  <si>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</si>
  <si>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</si>
  <si>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</si>
  <si>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</si>
  <si>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</si>
  <si>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</si>
  <si>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</si>
  <si>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</si>
  <si>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</si>
  <si>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</si>
  <si>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</si>
  <si>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</si>
  <si>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</si>
  <si>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</si>
  <si>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</si>
  <si>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</si>
  <si>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</si>
  <si>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</si>
  <si>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</si>
  <si>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</si>
  <si>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</si>
  <si>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</si>
  <si>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</si>
  <si>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</si>
  <si>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</si>
  <si>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</si>
  <si>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</si>
  <si>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</si>
  <si>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</si>
  <si>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</si>
  <si>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</si>
  <si>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</si>
  <si>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</si>
  <si>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</si>
  <si>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</si>
  <si>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</si>
  <si>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</si>
  <si>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</si>
  <si>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</si>
  <si>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</si>
  <si>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</si>
  <si>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</si>
  <si>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</si>
  <si>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</si>
  <si>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</si>
  <si>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</si>
  <si>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</si>
  <si>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</si>
  <si>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</si>
  <si>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</si>
  <si>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</si>
  <si>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</si>
  <si>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</si>
  <si>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</si>
  <si>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</si>
  <si>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</si>
  <si>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</si>
  <si>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</si>
  <si>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</si>
  <si>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</si>
  <si>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</si>
  <si>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</si>
  <si>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</si>
  <si>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</si>
  <si>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</si>
  <si>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</si>
  <si>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</si>
  <si>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</si>
  <si>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</si>
  <si>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</si>
  <si>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</si>
  <si>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</si>
  <si>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</si>
  <si>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</si>
  <si>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</si>
  <si>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</si>
  <si>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</si>
  <si>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</si>
  <si>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</si>
  <si>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</si>
  <si>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</si>
  <si>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</si>
  <si>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</si>
  <si>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</si>
  <si>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</si>
  <si>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</si>
  <si>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</si>
  <si>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</si>
  <si>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</si>
  <si>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</si>
  <si>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</si>
  <si>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</si>
  <si>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</si>
  <si>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</si>
  <si>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</si>
  <si>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</si>
  <si>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</si>
  <si>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</si>
  <si>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</si>
  <si>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</si>
  <si>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</si>
  <si>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</si>
  <si>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</si>
  <si>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</si>
  <si>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</si>
  <si>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</si>
  <si>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</si>
  <si>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</si>
  <si>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</si>
  <si>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</si>
  <si>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</si>
  <si>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</si>
  <si>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</si>
  <si>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</si>
  <si>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</si>
  <si>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</si>
  <si>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</si>
  <si>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</si>
  <si>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</si>
  <si>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</si>
  <si>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</si>
  <si>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</si>
  <si>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</si>
  <si>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</si>
  <si>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</si>
  <si>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</si>
  <si>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</si>
  <si>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</si>
  <si>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</si>
  <si>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</si>
  <si>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</si>
  <si>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</si>
  <si>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</si>
  <si>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</si>
  <si>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</si>
  <si>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</si>
  <si>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</si>
  <si>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</si>
  <si>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</si>
  <si>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</si>
  <si>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</si>
  <si>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</si>
  <si>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</si>
  <si>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</si>
  <si>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</si>
  <si>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</si>
  <si>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</si>
  <si>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</si>
  <si>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</si>
  <si>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</si>
  <si>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</si>
  <si>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</si>
  <si>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</si>
  <si>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</si>
  <si>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</si>
  <si>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</si>
  <si>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</si>
  <si>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</si>
  <si>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</si>
  <si>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</si>
  <si>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</si>
  <si>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</si>
  <si>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</si>
  <si>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</si>
  <si>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</si>
  <si>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</si>
  <si>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</si>
  <si>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</si>
  <si>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</si>
  <si>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</si>
  <si>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</si>
  <si>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</si>
  <si>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</si>
  <si>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</si>
  <si>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</si>
  <si>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</si>
  <si>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</si>
  <si>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</si>
  <si>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</si>
  <si>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</si>
  <si>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</si>
  <si>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</si>
  <si>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</si>
  <si>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</si>
  <si>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</si>
  <si>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</si>
  <si>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</si>
  <si>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</si>
  <si>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</si>
  <si>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</si>
  <si>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</si>
  <si>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</si>
  <si>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</si>
  <si>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</si>
  <si>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</si>
  <si>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</si>
  <si>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</si>
  <si>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</si>
  <si>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</si>
  <si>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</si>
  <si>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</si>
  <si>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</si>
  <si>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</si>
  <si>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</si>
  <si>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</si>
  <si>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</si>
  <si>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</si>
  <si>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</si>
  <si>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</si>
  <si>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</si>
  <si>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</si>
  <si>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</si>
  <si>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</si>
  <si>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</si>
  <si>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</si>
  <si>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</si>
  <si>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</si>
  <si>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</si>
  <si>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</si>
  <si>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</si>
  <si>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</si>
  <si>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</si>
  <si>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</si>
  <si>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</si>
  <si>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</si>
  <si>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</si>
  <si>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</si>
  <si>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</si>
  <si>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</si>
  <si>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</si>
  <si>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</si>
  <si>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</si>
  <si>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</si>
  <si>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</si>
  <si>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</si>
  <si>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</si>
  <si>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</si>
  <si>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</si>
  <si>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</si>
  <si>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</si>
  <si>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</si>
  <si>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</si>
  <si>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</si>
  <si>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</si>
  <si>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</si>
  <si>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</si>
  <si>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</si>
  <si>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</si>
  <si>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</si>
  <si>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</si>
  <si>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</si>
  <si>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</si>
  <si>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</si>
  <si>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</si>
  <si>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</si>
  <si>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</si>
  <si>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</si>
  <si>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</si>
  <si>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</si>
  <si>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</si>
  <si>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</si>
  <si>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</si>
  <si>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</si>
  <si>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</si>
  <si>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</si>
  <si>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</si>
  <si>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</si>
  <si>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</si>
  <si>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</si>
  <si>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</si>
  <si>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</si>
  <si>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</si>
  <si>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</si>
  <si>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</si>
  <si>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</si>
  <si>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</si>
  <si>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</si>
  <si>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</si>
  <si>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</si>
  <si>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</si>
  <si>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</si>
  <si>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</si>
  <si>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</si>
  <si>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</si>
  <si>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</si>
  <si>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</si>
  <si>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</si>
  <si>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</si>
  <si>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</si>
  <si>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</si>
  <si>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</si>
  <si>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</si>
  <si>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</si>
  <si>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</si>
  <si>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</si>
  <si>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</si>
  <si>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</si>
  <si>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</si>
  <si>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</si>
  <si>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</si>
  <si>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</si>
  <si>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</si>
  <si>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</si>
  <si>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</si>
  <si>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</si>
  <si>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</si>
  <si>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</si>
  <si>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</si>
  <si>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</si>
  <si>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</si>
  <si>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</si>
  <si>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</si>
  <si>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</si>
  <si>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</si>
  <si>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</si>
  <si>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</si>
  <si>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</si>
  <si>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</si>
  <si>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</si>
  <si>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</si>
  <si>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</si>
  <si>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</si>
  <si>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</si>
  <si>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</si>
  <si>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</si>
  <si>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</si>
  <si>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</si>
  <si>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</si>
  <si>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</si>
  <si>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</si>
  <si>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</si>
  <si>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</si>
  <si>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</si>
  <si>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</si>
  <si>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</si>
  <si>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</si>
  <si>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</si>
  <si>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</si>
  <si>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</si>
  <si>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</si>
  <si>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</si>
  <si>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</si>
  <si>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</si>
  <si>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</si>
  <si>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</si>
  <si>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</si>
  <si>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</si>
  <si>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</si>
  <si>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</si>
  <si>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</si>
  <si>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</si>
  <si>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</si>
  <si>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</si>
  <si>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</si>
  <si>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</si>
  <si>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</si>
  <si>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</si>
  <si>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</si>
  <si>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</si>
  <si>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</si>
  <si>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</si>
  <si>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</si>
  <si>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</si>
  <si>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</si>
  <si>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</si>
  <si>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</si>
  <si>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</si>
  <si>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</si>
  <si>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</si>
  <si>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</si>
  <si>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</si>
  <si>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</si>
  <si>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</si>
  <si>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</si>
  <si>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</si>
  <si>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</si>
  <si>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</si>
  <si>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</si>
  <si>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</si>
  <si>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</si>
  <si>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</si>
  <si>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</si>
  <si>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</si>
  <si>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</si>
  <si>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</si>
  <si>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</si>
  <si>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</si>
  <si>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</si>
  <si>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</si>
  <si>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</si>
  <si>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</si>
  <si>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</si>
  <si>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</si>
  <si>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</si>
  <si>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</si>
  <si>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</si>
  <si>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</si>
  <si>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</si>
  <si>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</si>
  <si>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</si>
  <si>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</si>
  <si>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</si>
  <si>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</si>
  <si>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</si>
  <si>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</si>
  <si>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</si>
  <si>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</si>
  <si>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</si>
  <si>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</si>
  <si>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</si>
  <si>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</si>
  <si>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</si>
  <si>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</si>
  <si>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</si>
  <si>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</si>
  <si>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</si>
  <si>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</si>
  <si>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</si>
  <si>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</si>
  <si>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</si>
  <si>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</si>
  <si>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</si>
  <si>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</si>
  <si>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</si>
  <si>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</si>
  <si>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</si>
  <si>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</si>
  <si>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</si>
  <si>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</si>
  <si>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</si>
  <si>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</si>
  <si>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</si>
  <si>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</si>
  <si>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</si>
  <si>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</si>
  <si>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</si>
  <si>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</si>
  <si>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</si>
  <si>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</si>
  <si>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</si>
  <si>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</si>
  <si>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</si>
  <si>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</si>
  <si>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</si>
  <si>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</si>
  <si>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</si>
  <si>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</si>
  <si>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</si>
  <si>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</si>
  <si>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</si>
  <si>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</si>
  <si>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</si>
  <si>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</si>
  <si>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</si>
  <si>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</si>
  <si>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</si>
  <si>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</si>
  <si>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</si>
  <si>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</si>
  <si>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</si>
  <si>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</si>
  <si>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</si>
  <si>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</si>
  <si>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</si>
  <si>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</si>
  <si>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</si>
  <si>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</si>
  <si>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</si>
  <si>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</si>
  <si>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</si>
  <si>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</si>
  <si>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</si>
  <si>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</si>
  <si>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</si>
  <si>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</si>
  <si>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</si>
  <si>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</si>
  <si>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</si>
  <si>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</si>
  <si>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</si>
  <si>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</si>
  <si>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</si>
  <si>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</si>
  <si>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</si>
  <si>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</si>
  <si>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</si>
  <si>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</si>
  <si>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</si>
  <si>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</si>
  <si>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</si>
  <si>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</si>
  <si>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</si>
  <si>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</si>
  <si>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</si>
  <si>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</si>
  <si>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</si>
  <si>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</si>
  <si>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</si>
  <si>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</si>
  <si>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</si>
  <si>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</si>
  <si>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</si>
  <si>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</si>
  <si>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</si>
  <si>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</si>
  <si>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</si>
  <si>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</si>
  <si>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</si>
  <si>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</si>
  <si>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</si>
  <si>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</si>
  <si>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</si>
  <si>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</si>
  <si>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</si>
  <si>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</si>
  <si>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</si>
  <si>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</si>
  <si>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</si>
  <si>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</si>
  <si>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</si>
  <si>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</si>
  <si>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</si>
  <si>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</si>
  <si>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</si>
  <si>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</si>
  <si>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</si>
  <si>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</si>
  <si>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</si>
  <si>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</si>
  <si>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</si>
  <si>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</si>
  <si>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</si>
  <si>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</si>
  <si>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</si>
  <si>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</si>
  <si>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</si>
  <si>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</si>
  <si>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</si>
  <si>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</si>
  <si>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</si>
  <si>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</si>
  <si>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</si>
  <si>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</si>
  <si>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</si>
  <si>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</si>
  <si>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</si>
  <si>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</si>
  <si>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</si>
  <si>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</si>
  <si>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</si>
  <si>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</si>
  <si>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</si>
  <si>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</si>
  <si>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</si>
  <si>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</si>
  <si>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</si>
  <si>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</si>
  <si>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</si>
  <si>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</si>
  <si>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</si>
  <si>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</si>
  <si>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</si>
  <si>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</si>
  <si>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</si>
  <si>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</si>
  <si>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</si>
  <si>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</si>
  <si>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</si>
  <si>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</si>
  <si>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</si>
  <si>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</si>
  <si>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</si>
  <si>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</si>
  <si>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</si>
  <si>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</si>
  <si>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</si>
  <si>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</si>
  <si>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</si>
  <si>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</si>
  <si>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</si>
  <si>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</si>
  <si>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</si>
  <si>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</si>
  <si>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</si>
  <si>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</si>
  <si>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</si>
  <si>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</si>
  <si>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</si>
  <si>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</si>
  <si>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</si>
  <si>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</si>
  <si>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</si>
  <si>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</si>
  <si>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</si>
  <si>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</si>
  <si>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</si>
  <si>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</si>
  <si>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</si>
  <si>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</si>
  <si>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</si>
  <si>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</si>
  <si>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</si>
  <si>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</si>
  <si>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</si>
  <si>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</si>
  <si>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</si>
  <si>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</si>
  <si>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</si>
  <si>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</si>
  <si>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</si>
  <si>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</si>
  <si>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</si>
  <si>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</si>
  <si>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</si>
  <si>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</si>
  <si>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</si>
  <si>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</si>
  <si>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</si>
  <si>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</si>
  <si>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</si>
  <si>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</si>
  <si>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</si>
  <si>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</si>
  <si>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</si>
  <si>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</si>
  <si>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</si>
  <si>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</si>
  <si>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</si>
  <si>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</si>
  <si>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</si>
  <si>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</si>
  <si>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</si>
  <si>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</si>
  <si>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</si>
  <si>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</si>
  <si>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</si>
  <si>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</si>
  <si>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</si>
  <si>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</si>
  <si>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</si>
  <si>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</si>
  <si>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</si>
  <si>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</si>
  <si>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</si>
  <si>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</si>
  <si>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</si>
  <si>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</si>
  <si>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</si>
  <si>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</si>
  <si>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</si>
  <si>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</si>
  <si>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</si>
  <si>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</si>
  <si>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</si>
  <si>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</si>
  <si>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</si>
  <si>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</si>
  <si>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</si>
  <si>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</si>
  <si>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</si>
  <si>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</si>
  <si>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</si>
  <si>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</si>
  <si>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</si>
  <si>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</si>
  <si>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</si>
  <si>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</si>
  <si>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</si>
  <si>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</si>
  <si>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</si>
  <si>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</si>
  <si>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</si>
  <si>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</si>
  <si>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</si>
  <si>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</si>
  <si>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</si>
  <si>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</si>
  <si>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</si>
  <si>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</si>
  <si>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</si>
  <si>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</si>
  <si>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</si>
  <si>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</si>
  <si>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</si>
  <si>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</si>
  <si>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</si>
  <si>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</si>
  <si>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</si>
  <si>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</si>
  <si>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</si>
  <si>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</si>
  <si>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</si>
  <si>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</si>
  <si>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</si>
  <si>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</si>
  <si>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</si>
  <si>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</si>
  <si>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</si>
  <si>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</si>
  <si>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</si>
  <si>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</si>
  <si>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</si>
  <si>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</si>
  <si>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</si>
  <si>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</si>
  <si>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</si>
  <si>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</si>
  <si>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</si>
  <si>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</si>
  <si>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</si>
  <si>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</si>
  <si>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</si>
  <si>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</si>
  <si>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</si>
  <si>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</si>
  <si>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</si>
  <si>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</si>
  <si>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</si>
  <si>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</si>
  <si>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</si>
  <si>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</si>
  <si>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</si>
  <si>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</si>
  <si>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</si>
  <si>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</si>
  <si>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</si>
  <si>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</si>
  <si>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</si>
  <si>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</si>
  <si>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</si>
  <si>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</si>
  <si>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</si>
  <si>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</si>
  <si>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</si>
  <si>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</si>
  <si>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</si>
  <si>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</si>
  <si>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</si>
  <si>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</si>
  <si>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</si>
  <si>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</si>
  <si>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</si>
  <si>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</si>
  <si>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</si>
  <si>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</si>
  <si>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</si>
  <si>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</si>
  <si>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</si>
  <si>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</si>
  <si>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</si>
  <si>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</si>
  <si>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</si>
  <si>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</si>
  <si>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</si>
  <si>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</si>
  <si>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</si>
  <si>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</si>
  <si>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</si>
  <si>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</si>
  <si>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</si>
  <si>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</si>
  <si>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</si>
  <si>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</si>
  <si>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</si>
  <si>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</si>
  <si>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</si>
  <si>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</si>
  <si>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</si>
  <si>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</si>
  <si>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</si>
  <si>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</si>
  <si>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</si>
  <si>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</si>
  <si>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</si>
  <si>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</si>
  <si>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</si>
  <si>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</si>
  <si>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</si>
  <si>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</si>
  <si>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</si>
  <si>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</si>
  <si>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</si>
  <si>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</si>
  <si>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</si>
  <si>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</si>
  <si>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</si>
  <si>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</si>
  <si>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</si>
  <si>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</si>
  <si>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</si>
  <si>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</si>
  <si>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</si>
  <si>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</si>
  <si>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</si>
  <si>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</si>
  <si>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</si>
  <si>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</si>
  <si>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</si>
  <si>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</si>
  <si>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</si>
  <si>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</si>
  <si>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</si>
  <si>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</si>
  <si>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</si>
  <si>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</si>
  <si>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</si>
  <si>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</si>
  <si>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</si>
  <si>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</si>
  <si>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</si>
  <si>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</si>
  <si>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</si>
  <si>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</si>
  <si>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</si>
  <si>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</si>
  <si>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</si>
  <si>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</si>
  <si>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</si>
  <si>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</si>
  <si>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</si>
  <si>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</si>
  <si>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</si>
  <si>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</si>
  <si>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</si>
  <si>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</si>
  <si>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</si>
  <si>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</si>
  <si>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</si>
  <si>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</si>
  <si>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</si>
  <si>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</si>
  <si>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</si>
  <si>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</si>
  <si>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</si>
  <si>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</si>
  <si>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</si>
  <si>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</si>
  <si>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</si>
  <si>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</si>
  <si>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</si>
  <si>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</si>
  <si>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</si>
  <si>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</si>
  <si>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</si>
  <si>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</si>
  <si>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</si>
  <si>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</si>
  <si>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</si>
  <si>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</si>
  <si>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</si>
  <si>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</si>
  <si>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</si>
  <si>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</si>
  <si>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</si>
  <si>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</si>
  <si>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</si>
  <si>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</si>
  <si>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</si>
  <si>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</si>
  <si>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</si>
  <si>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</si>
  <si>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</si>
  <si>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</si>
  <si>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</si>
  <si>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</si>
  <si>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</si>
  <si>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</si>
  <si>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</si>
  <si>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</si>
  <si>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</si>
  <si>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</si>
  <si>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</si>
  <si>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</si>
  <si>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</si>
  <si>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</si>
  <si>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</si>
  <si>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</si>
  <si>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</si>
  <si>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</si>
  <si>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</si>
  <si>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</si>
  <si>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</si>
  <si>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</si>
  <si>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</si>
  <si>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</si>
  <si>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</si>
  <si>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</si>
  <si>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</si>
  <si>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</si>
  <si>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</si>
  <si>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</si>
  <si>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</si>
  <si>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</si>
  <si>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</si>
  <si>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</si>
  <si>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</si>
  <si>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</si>
  <si>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</si>
  <si>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</si>
  <si>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</si>
  <si>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</si>
  <si>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</si>
  <si>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</si>
  <si>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</si>
  <si>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</si>
  <si>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</si>
  <si>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</si>
  <si>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</si>
  <si>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</si>
  <si>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</si>
  <si>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</si>
  <si>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</si>
  <si>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</si>
  <si>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</si>
  <si>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</si>
  <si>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</si>
  <si>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</si>
  <si>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</si>
  <si>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</si>
  <si>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</si>
  <si>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</si>
  <si>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</si>
  <si>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</si>
  <si>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</si>
  <si>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</si>
  <si>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</si>
  <si>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</si>
  <si>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</si>
  <si>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</si>
  <si>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</si>
  <si>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</si>
  <si>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</si>
  <si>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</si>
  <si>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</si>
  <si>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</si>
  <si>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</si>
  <si>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</si>
  <si>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</si>
  <si>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</si>
  <si>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</si>
  <si>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</si>
  <si>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</si>
  <si>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</si>
  <si>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</si>
  <si>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</si>
  <si>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</si>
  <si>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</si>
  <si>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</si>
  <si>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</si>
  <si>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</si>
  <si>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</si>
  <si>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</si>
  <si>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</si>
  <si>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</si>
  <si>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</si>
  <si>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</si>
  <si>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</si>
  <si>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</si>
  <si>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</si>
  <si>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</si>
  <si>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</si>
  <si>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</si>
  <si>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</si>
  <si>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</si>
  <si>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</si>
  <si>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</si>
  <si>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</si>
  <si>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</si>
  <si>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</si>
  <si>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</si>
  <si>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</si>
  <si>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</si>
  <si>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</si>
  <si>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</si>
  <si>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</si>
  <si>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</si>
  <si>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</si>
  <si>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</si>
  <si>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</si>
  <si>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</si>
  <si>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</si>
  <si>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</si>
  <si>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</si>
  <si>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</si>
  <si>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</si>
  <si>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</si>
  <si>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</si>
  <si>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</si>
  <si>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</si>
  <si>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</si>
  <si>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</si>
  <si>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</si>
  <si>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</si>
  <si>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</si>
  <si>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</si>
  <si>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</si>
  <si>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</si>
  <si>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</si>
  <si>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</si>
  <si>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</si>
  <si>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</si>
  <si>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</si>
  <si>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</si>
  <si>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</si>
  <si>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</si>
  <si>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</si>
  <si>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</si>
  <si>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</si>
  <si>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</si>
  <si>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</si>
  <si>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</si>
  <si>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</si>
  <si>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</si>
  <si>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</si>
  <si>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</si>
  <si>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</si>
  <si>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</si>
  <si>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</si>
  <si>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</si>
  <si>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</si>
  <si>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</si>
  <si>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</si>
  <si>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</si>
  <si>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</si>
  <si>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</si>
  <si>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</si>
  <si>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</si>
  <si>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</si>
  <si>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</si>
  <si>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</si>
  <si>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</si>
  <si>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</si>
  <si>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</si>
  <si>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</si>
  <si>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</si>
  <si>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</si>
  <si>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</si>
  <si>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</si>
  <si>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</si>
  <si>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</si>
  <si>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</si>
  <si>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</si>
  <si>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</si>
  <si>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</si>
  <si>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</si>
  <si>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</si>
  <si>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</si>
  <si>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</si>
  <si>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</si>
  <si>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</si>
  <si>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</si>
  <si>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</si>
  <si>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</si>
  <si>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</si>
  <si>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</si>
  <si>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</si>
  <si>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</si>
  <si>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</si>
  <si>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</si>
  <si>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</si>
  <si>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</si>
  <si>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</si>
  <si>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</si>
  <si>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</si>
  <si>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</si>
  <si>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</si>
  <si>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</si>
  <si>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</si>
  <si>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</si>
  <si>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</si>
  <si>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</si>
  <si>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</si>
  <si>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</si>
  <si>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</si>
  <si>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</si>
  <si>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</si>
  <si>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</si>
  <si>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</si>
  <si>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</si>
  <si>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</si>
  <si>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</si>
  <si>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</si>
  <si>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</si>
  <si>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</si>
  <si>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</si>
  <si>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</si>
  <si>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</si>
  <si>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</si>
  <si>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</si>
  <si>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</si>
  <si>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</si>
  <si>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</si>
  <si>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</si>
  <si>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</si>
  <si>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</si>
  <si>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</si>
  <si>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</si>
  <si>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</si>
  <si>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</si>
  <si>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</si>
  <si>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</si>
  <si>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</si>
  <si>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</si>
  <si>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</si>
  <si>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</si>
  <si>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</si>
  <si>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</si>
  <si>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</si>
  <si>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</si>
  <si>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</si>
  <si>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</si>
  <si>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</si>
  <si>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</si>
  <si>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</si>
  <si>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</si>
  <si>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</si>
  <si>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</si>
  <si>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</si>
  <si>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</si>
  <si>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</si>
  <si>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</si>
  <si>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</si>
  <si>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</si>
  <si>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</si>
  <si>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</si>
  <si>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</si>
  <si>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</si>
  <si>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</si>
  <si>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</si>
  <si>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</si>
  <si>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</si>
  <si>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</si>
  <si>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</si>
  <si>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</si>
  <si>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</si>
  <si>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</si>
  <si>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</si>
  <si>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</si>
  <si>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</si>
  <si>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</si>
  <si>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</si>
  <si>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</si>
  <si>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</si>
  <si>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</si>
  <si>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</si>
  <si>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</si>
  <si>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</si>
  <si>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</si>
  <si>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</si>
  <si>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</si>
  <si>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</si>
  <si>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</si>
  <si>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</si>
  <si>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</si>
  <si>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</si>
  <si>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</si>
  <si>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</si>
  <si>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</si>
  <si>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</si>
  <si>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</si>
  <si>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</si>
  <si>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</si>
  <si>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</si>
  <si>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</si>
  <si>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</si>
  <si>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</si>
  <si>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</si>
  <si>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</si>
  <si>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</si>
  <si>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</si>
  <si>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</si>
  <si>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</si>
  <si>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</si>
  <si>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</si>
  <si>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</si>
  <si>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</si>
  <si>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</si>
  <si>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</si>
  <si>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</si>
  <si>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</si>
  <si>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</si>
  <si>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</si>
  <si>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</si>
  <si>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</si>
  <si>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</si>
  <si>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</si>
  <si>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</si>
  <si>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</si>
  <si>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</si>
  <si>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</si>
  <si>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</si>
  <si>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</si>
  <si>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</si>
  <si>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</si>
  <si>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</si>
  <si>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</si>
  <si>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</si>
  <si>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</si>
  <si>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</si>
  <si>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</si>
  <si>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</si>
  <si>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</si>
  <si>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</si>
  <si>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</si>
  <si>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</si>
  <si>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</si>
  <si>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</si>
  <si>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</si>
  <si>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</si>
  <si>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</si>
  <si>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</si>
  <si>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</si>
  <si>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</si>
  <si>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</si>
  <si>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</si>
  <si>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</si>
  <si>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</si>
  <si>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</si>
  <si>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</si>
  <si>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</si>
  <si>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</si>
  <si>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</si>
  <si>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</si>
  <si>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</si>
  <si>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</si>
  <si>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</si>
  <si>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</si>
  <si>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</si>
  <si>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</si>
  <si>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</si>
  <si>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</si>
  <si>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</si>
  <si>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</si>
  <si>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</si>
  <si>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</si>
  <si>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</si>
  <si>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</si>
  <si>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</si>
  <si>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</si>
  <si>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</si>
  <si>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</si>
  <si>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</si>
  <si>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</si>
  <si>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</si>
  <si>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</si>
  <si>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</si>
  <si>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</si>
  <si>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</si>
  <si>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</si>
  <si>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</si>
  <si>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</si>
  <si>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</si>
  <si>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</si>
  <si>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</si>
  <si>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</si>
  <si>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</si>
  <si>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</si>
  <si>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</si>
  <si>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</si>
  <si>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</si>
  <si>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</si>
  <si>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</si>
  <si>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</si>
  <si>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</si>
  <si>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</si>
  <si>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</si>
  <si>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</si>
  <si>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</si>
  <si>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</si>
  <si>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</si>
  <si>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</si>
  <si>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</si>
  <si>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</si>
  <si>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</si>
  <si>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</si>
  <si>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</si>
  <si>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</si>
  <si>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</si>
  <si>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</si>
  <si>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</si>
  <si>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</si>
  <si>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</si>
  <si>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</si>
  <si>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</si>
  <si>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</si>
  <si>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</si>
  <si>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</si>
  <si>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</si>
  <si>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</si>
  <si>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</si>
  <si>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</si>
  <si>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</si>
  <si>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</si>
  <si>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</si>
  <si>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</si>
  <si>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</si>
  <si>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</si>
  <si>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</si>
  <si>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</si>
  <si>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</si>
  <si>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</si>
  <si>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</si>
  <si>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</si>
  <si>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</si>
  <si>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</si>
  <si>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</si>
  <si>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</si>
  <si>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</si>
  <si>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</si>
  <si>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</si>
  <si>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</si>
  <si>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</si>
  <si>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</si>
  <si>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</si>
  <si>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</si>
  <si>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</si>
  <si>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</si>
  <si>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</si>
  <si>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</si>
  <si>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</si>
  <si>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</si>
  <si>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</si>
  <si>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</si>
  <si>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</si>
  <si>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</si>
  <si>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</si>
  <si>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</si>
  <si>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</si>
  <si>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</si>
  <si>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</si>
  <si>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</si>
  <si>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</si>
  <si>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</si>
  <si>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</si>
  <si>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</si>
  <si>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</si>
  <si>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</si>
  <si>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</si>
  <si>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</si>
  <si>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</si>
  <si>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</si>
  <si>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</si>
  <si>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</si>
  <si>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</si>
  <si>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</si>
  <si>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</si>
  <si>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</si>
  <si>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</si>
  <si>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</si>
  <si>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</si>
  <si>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</si>
  <si>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</si>
  <si>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</si>
  <si>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</si>
  <si>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</si>
  <si>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</si>
  <si>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</si>
  <si>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</si>
  <si>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</si>
  <si>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</si>
  <si>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</si>
  <si>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</si>
  <si>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</si>
  <si>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</si>
  <si>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</si>
  <si>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</si>
  <si>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</si>
  <si>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</si>
  <si>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</si>
  <si>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</si>
  <si>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</si>
  <si>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</si>
  <si>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</si>
  <si>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</si>
  <si>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</si>
  <si>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</si>
  <si>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</si>
  <si>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</si>
  <si>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</si>
  <si>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</si>
  <si>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</si>
  <si>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</si>
  <si>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</si>
  <si>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</si>
  <si>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</si>
  <si>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</si>
  <si>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</si>
  <si>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</si>
  <si>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</si>
  <si>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</si>
  <si>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</si>
  <si>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</si>
  <si>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</si>
  <si>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</si>
  <si>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</si>
  <si>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</si>
  <si>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</si>
  <si>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</si>
  <si>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</si>
  <si>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</si>
  <si>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</si>
  <si>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</si>
  <si>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</si>
  <si>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</si>
  <si>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</si>
  <si>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</si>
  <si>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</si>
  <si>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</si>
  <si>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</si>
  <si>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</si>
  <si>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</si>
  <si>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</si>
  <si>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</si>
  <si>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</si>
  <si>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</si>
  <si>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</si>
  <si>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</si>
  <si>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</si>
  <si>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</si>
  <si>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</si>
  <si>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</si>
  <si>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</si>
  <si>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</si>
  <si>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</si>
  <si>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</si>
  <si>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</si>
  <si>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</si>
  <si>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</si>
  <si>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</si>
  <si>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</si>
  <si>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</si>
  <si>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</si>
  <si>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</si>
  <si>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</si>
  <si>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</si>
  <si>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</si>
  <si>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</si>
  <si>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</si>
  <si>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</si>
  <si>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</si>
  <si>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</si>
  <si>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</si>
  <si>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</si>
  <si>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</si>
  <si>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</si>
  <si>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</si>
  <si>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</si>
  <si>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</si>
  <si>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</si>
  <si>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</si>
  <si>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</si>
  <si>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</si>
  <si>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</si>
  <si>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</si>
  <si>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</si>
  <si>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</si>
  <si>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</si>
  <si>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</si>
  <si>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</si>
  <si>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</si>
  <si>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</si>
  <si>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</si>
  <si>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</si>
  <si>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</si>
  <si>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</si>
  <si>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</si>
  <si>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</si>
  <si>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</si>
  <si>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</si>
  <si>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</si>
  <si>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</si>
  <si>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</si>
  <si>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</si>
  <si>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</si>
  <si>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</si>
  <si>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</si>
  <si>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</si>
  <si>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</si>
  <si>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</si>
  <si>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</si>
  <si>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</si>
  <si>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</si>
  <si>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</si>
  <si>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</si>
  <si>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</si>
  <si>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</si>
  <si>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</si>
  <si>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</si>
  <si>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</si>
  <si>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</si>
  <si>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</si>
  <si>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</si>
  <si>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</si>
  <si>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</si>
  <si>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</si>
  <si>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</si>
  <si>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</si>
  <si>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</si>
  <si>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</si>
  <si>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</si>
  <si>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</si>
  <si>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</si>
  <si>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</si>
  <si>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</si>
  <si>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</si>
  <si>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</si>
  <si>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</si>
  <si>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</si>
  <si>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</si>
  <si>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</si>
  <si>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</si>
  <si>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</si>
  <si>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</si>
  <si>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</si>
  <si>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</si>
  <si>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</si>
  <si>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</si>
  <si>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</si>
  <si>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</si>
  <si>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</si>
  <si>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</si>
  <si>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</si>
  <si>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</si>
  <si>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</si>
  <si>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</si>
  <si>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</si>
  <si>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</si>
  <si>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</si>
  <si>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</si>
  <si>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</si>
  <si>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</si>
  <si>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</si>
  <si>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</si>
  <si>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</si>
  <si>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</si>
  <si>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</si>
  <si>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</si>
  <si>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</si>
  <si>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</si>
  <si>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</si>
  <si>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</si>
  <si>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</si>
  <si>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</si>
  <si>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</si>
  <si>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</si>
  <si>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</si>
  <si>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</si>
  <si>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</si>
  <si>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</si>
  <si>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</si>
  <si>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</si>
  <si>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</si>
  <si>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</si>
  <si>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</si>
  <si>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</si>
  <si>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</si>
  <si>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</si>
  <si>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</si>
  <si>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</si>
  <si>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</si>
  <si>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</si>
  <si>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</si>
  <si>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</si>
  <si>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</si>
  <si>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</si>
  <si>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</si>
  <si>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</si>
  <si>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</si>
  <si>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</si>
  <si>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</si>
  <si>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</si>
  <si>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</si>
  <si>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</si>
  <si>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</si>
  <si>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</si>
  <si>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</si>
  <si>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</si>
  <si>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</si>
  <si>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</si>
  <si>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</si>
  <si>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</si>
  <si>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</si>
  <si>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</si>
  <si>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</si>
  <si>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</si>
  <si>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</si>
  <si>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</si>
  <si>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</si>
  <si>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</si>
  <si>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</si>
  <si>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</si>
  <si>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</si>
  <si>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</si>
  <si>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</si>
  <si>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</si>
  <si>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</si>
  <si>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</si>
  <si>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</si>
  <si>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</si>
  <si>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</si>
  <si>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</si>
  <si>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</si>
  <si>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</si>
  <si>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</si>
  <si>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</si>
  <si>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</si>
  <si>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</si>
  <si>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</si>
  <si>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</si>
  <si>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</si>
  <si>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</si>
  <si>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</si>
  <si>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</si>
  <si>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</si>
  <si>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</si>
  <si>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</si>
  <si>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</si>
  <si>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</si>
  <si>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</si>
  <si>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</si>
  <si>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</si>
  <si>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</si>
  <si>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</si>
  <si>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</si>
  <si>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</si>
  <si>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</si>
  <si>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</si>
  <si>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</si>
  <si>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</si>
  <si>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</si>
  <si>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</si>
  <si>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</si>
  <si>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</si>
  <si>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</si>
  <si>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</si>
  <si>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</si>
  <si>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</si>
  <si>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</si>
  <si>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</si>
  <si>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</si>
  <si>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</si>
  <si>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</si>
  <si>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</si>
  <si>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</si>
  <si>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</si>
  <si>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</si>
  <si>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</si>
  <si>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</si>
  <si>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</si>
  <si>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</si>
  <si>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</si>
  <si>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</si>
  <si>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</si>
  <si>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</si>
  <si>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</si>
  <si>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</si>
  <si>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</si>
  <si>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</si>
  <si>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</si>
  <si>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</si>
  <si>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</si>
  <si>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</si>
  <si>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</si>
  <si>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</si>
  <si>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</si>
  <si>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</si>
  <si>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</si>
  <si>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</si>
  <si>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</si>
  <si>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</si>
  <si>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</si>
  <si>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</si>
  <si>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</si>
  <si>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</si>
  <si>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</si>
  <si>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</si>
  <si>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</si>
  <si>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</si>
  <si>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</si>
  <si>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</si>
  <si>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</si>
  <si>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</si>
  <si>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</si>
  <si>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</si>
  <si>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</si>
  <si>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</si>
  <si>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</si>
  <si>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</si>
  <si>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</si>
  <si>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</si>
  <si>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</si>
  <si>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</si>
  <si>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</si>
  <si>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</si>
  <si>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</si>
  <si>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</si>
  <si>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</si>
  <si>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</si>
  <si>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</si>
  <si>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</si>
  <si>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</si>
  <si>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</si>
  <si>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</si>
  <si>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</si>
  <si>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</si>
  <si>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</si>
  <si>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</si>
  <si>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</si>
  <si>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</si>
  <si>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</si>
  <si>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</si>
  <si>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</si>
  <si>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</si>
  <si>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</si>
  <si>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</si>
  <si>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</si>
  <si>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</si>
  <si>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</si>
  <si>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</si>
  <si>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</si>
  <si>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</si>
  <si>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</si>
  <si>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</si>
  <si>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</si>
  <si>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</si>
  <si>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</si>
  <si>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</si>
  <si>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</si>
  <si>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</si>
  <si>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</si>
  <si>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</si>
  <si>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</si>
  <si>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</si>
  <si>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</si>
  <si>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</si>
  <si>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</si>
  <si>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</si>
  <si>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</si>
  <si>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</si>
  <si>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</si>
  <si>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</si>
  <si>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</si>
  <si>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</si>
  <si>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</si>
  <si>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</si>
  <si>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</si>
  <si>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</si>
  <si>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</si>
  <si>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</si>
  <si>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</si>
  <si>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</si>
  <si>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</si>
  <si>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</si>
  <si>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</si>
  <si>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</si>
  <si>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</si>
  <si>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</si>
  <si>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</si>
  <si>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</si>
  <si>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</si>
  <si>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</si>
  <si>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</si>
  <si>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</si>
  <si>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</si>
  <si>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</si>
  <si>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</si>
  <si>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</si>
  <si>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</si>
  <si>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</si>
  <si>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</si>
  <si>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</si>
  <si>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</si>
  <si>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</si>
  <si>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</si>
  <si>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</si>
  <si>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</si>
  <si>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</si>
  <si>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</si>
  <si>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</si>
  <si>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</si>
  <si>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</si>
  <si>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</si>
  <si>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</si>
  <si>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</si>
  <si>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</si>
  <si>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</si>
  <si>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</si>
  <si>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</si>
  <si>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</si>
  <si>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</si>
  <si>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</si>
  <si>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</si>
  <si>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</si>
  <si>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</si>
  <si>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</si>
  <si>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</si>
  <si>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</si>
  <si>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</si>
  <si>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</si>
  <si>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</si>
  <si>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</si>
  <si>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</si>
  <si>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</si>
  <si>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</si>
  <si>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</si>
  <si>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</si>
  <si>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</si>
  <si>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</si>
  <si>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</si>
  <si>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</si>
  <si>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</si>
  <si>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</si>
  <si>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</si>
  <si>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</si>
  <si>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</si>
  <si>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</si>
  <si>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</si>
  <si>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</si>
  <si>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</si>
  <si>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</si>
  <si>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</si>
  <si>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</si>
  <si>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</si>
  <si>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</si>
  <si>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</si>
  <si>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</si>
  <si>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</si>
  <si>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</si>
  <si>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</si>
  <si>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</si>
  <si>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</si>
  <si>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</si>
  <si>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</si>
  <si>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</si>
  <si>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</si>
  <si>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</si>
  <si>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</si>
  <si>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</si>
  <si>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</si>
  <si>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</si>
  <si>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</si>
  <si>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</si>
  <si>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</si>
  <si>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</si>
  <si>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</si>
  <si>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</si>
  <si>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</si>
  <si>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</si>
  <si>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</si>
  <si>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</si>
  <si>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</si>
  <si>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</si>
  <si>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</si>
  <si>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</si>
  <si>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</si>
  <si>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</si>
  <si>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</si>
  <si>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</si>
  <si>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</si>
  <si>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</si>
  <si>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</si>
  <si>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</si>
  <si>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</si>
  <si>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</si>
  <si>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</si>
  <si>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</si>
  <si>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</si>
  <si>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</si>
  <si>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</si>
  <si>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</si>
  <si>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</si>
  <si>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</si>
  <si>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</si>
  <si>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</si>
  <si>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</si>
  <si>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</si>
  <si>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</si>
  <si>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</si>
  <si>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</si>
  <si>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</si>
  <si>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</si>
  <si>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</si>
  <si>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</si>
  <si>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</si>
  <si>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</si>
  <si>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</si>
  <si>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</si>
  <si>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</si>
  <si>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</si>
  <si>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</si>
  <si>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</si>
  <si>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</si>
  <si>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</si>
  <si>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</si>
  <si>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</si>
  <si>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</si>
  <si>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</si>
  <si>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</si>
  <si>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</si>
  <si>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</si>
  <si>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</si>
  <si>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</si>
  <si>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</si>
  <si>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</si>
  <si>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</si>
  <si>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</si>
  <si>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</si>
  <si>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</si>
  <si>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</si>
  <si>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</si>
  <si>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</si>
  <si>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</si>
  <si>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</si>
  <si>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</si>
  <si>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</si>
  <si>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</si>
  <si>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</si>
  <si>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</si>
  <si>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</si>
  <si>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</si>
  <si>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</si>
  <si>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</si>
  <si>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</si>
  <si>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</si>
  <si>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</si>
  <si>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</si>
  <si>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</si>
  <si>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</si>
  <si>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</si>
  <si>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</si>
  <si>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</si>
  <si>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</si>
  <si>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</si>
  <si>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</si>
  <si>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</si>
  <si>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</si>
  <si>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</si>
  <si>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</si>
  <si>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</si>
  <si>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</si>
  <si>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</si>
  <si>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</si>
  <si>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</si>
  <si>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</si>
  <si>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</si>
  <si>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</si>
  <si>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</si>
  <si>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</si>
  <si>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</si>
  <si>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</si>
  <si>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</si>
  <si>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</si>
  <si>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</si>
  <si>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</si>
  <si>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</si>
  <si>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</si>
  <si>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</si>
  <si>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</si>
  <si>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</si>
  <si>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</si>
  <si>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</si>
  <si>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</si>
  <si>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</si>
  <si>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</si>
  <si>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</si>
  <si>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</si>
  <si>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</si>
  <si>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</si>
  <si>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</si>
  <si>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</si>
  <si>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</si>
  <si>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</si>
  <si>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</si>
  <si>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</si>
  <si>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</si>
  <si>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</si>
  <si>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</si>
  <si>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</si>
  <si>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</si>
  <si>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</si>
  <si>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</si>
  <si>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</si>
  <si>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</si>
  <si>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</si>
  <si>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</si>
  <si>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</si>
  <si>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</si>
  <si>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</si>
  <si>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</si>
  <si>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</si>
  <si>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</si>
  <si>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</si>
  <si>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</si>
  <si>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</si>
  <si>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</si>
  <si>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</si>
  <si>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</si>
  <si>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</si>
  <si>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</si>
  <si>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</si>
  <si>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</si>
  <si>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</si>
  <si>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</si>
  <si>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</si>
  <si>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</si>
  <si>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</si>
  <si>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</si>
  <si>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</si>
  <si>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</si>
  <si>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</si>
  <si>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</si>
  <si>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</si>
  <si>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</si>
  <si>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</si>
  <si>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</si>
  <si>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</si>
  <si>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</si>
  <si>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</si>
  <si>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</si>
  <si>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</si>
  <si>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</si>
  <si>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</si>
  <si>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</si>
  <si>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</si>
  <si>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</si>
  <si>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</si>
  <si>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</si>
  <si>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</si>
  <si>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</si>
  <si>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</si>
  <si>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</si>
  <si>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</si>
  <si>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</si>
  <si>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</si>
  <si>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</si>
  <si>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</si>
  <si>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</si>
  <si>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</si>
  <si>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</si>
  <si>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</si>
  <si>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</si>
  <si>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</si>
  <si>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</si>
  <si>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</si>
  <si>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</si>
  <si>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</si>
  <si>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</si>
  <si>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</si>
  <si>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</si>
  <si>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</si>
  <si>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</si>
  <si>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</si>
  <si>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</si>
  <si>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</si>
  <si>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</si>
  <si>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</si>
  <si>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</si>
  <si>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</si>
  <si>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</si>
  <si>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</si>
  <si>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</si>
  <si>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</si>
  <si>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</si>
  <si>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</si>
  <si>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</si>
  <si>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</si>
  <si>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</si>
  <si>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</si>
  <si>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</si>
  <si>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</si>
  <si>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</si>
  <si>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</si>
  <si>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</si>
  <si>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</si>
  <si>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</si>
  <si>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</si>
  <si>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</si>
  <si>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</si>
  <si>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</si>
  <si>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</si>
  <si>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</si>
  <si>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</si>
  <si>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</si>
  <si>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</si>
  <si>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</si>
  <si>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</si>
  <si>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</si>
  <si>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</si>
  <si>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</si>
  <si>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</si>
  <si>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</si>
  <si>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</si>
  <si>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</si>
  <si>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</si>
  <si>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</si>
  <si>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</si>
  <si>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</si>
  <si>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</si>
  <si>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</si>
  <si>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</si>
  <si>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</si>
  <si>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</si>
  <si>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</si>
  <si>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</si>
  <si>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</si>
  <si>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</si>
  <si>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</si>
  <si>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</si>
  <si>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</si>
  <si>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</si>
  <si>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</si>
  <si>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</si>
  <si>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</si>
  <si>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</si>
  <si>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</si>
  <si>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</si>
  <si>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</si>
  <si>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</si>
  <si>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</si>
  <si>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</si>
  <si>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</si>
  <si>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</si>
  <si>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</si>
  <si>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</si>
  <si>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</si>
  <si>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</si>
  <si>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</si>
  <si>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</si>
  <si>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</si>
  <si>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</si>
  <si>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</si>
  <si>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</si>
  <si>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</si>
  <si>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</si>
  <si>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</si>
  <si>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</si>
  <si>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</si>
  <si>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</si>
  <si>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</si>
  <si>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</si>
  <si>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</si>
  <si>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</si>
  <si>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</si>
  <si>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</si>
  <si>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</si>
  <si>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</si>
  <si>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</si>
  <si>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</si>
  <si>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</si>
  <si>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</si>
  <si>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</si>
  <si>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</si>
  <si>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</si>
  <si>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</si>
  <si>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</si>
  <si>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</si>
  <si>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</si>
  <si>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</si>
  <si>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</si>
  <si>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</si>
  <si>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</si>
  <si>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</si>
  <si>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</si>
  <si>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</si>
  <si>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</si>
  <si>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</si>
  <si>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</si>
  <si>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</si>
  <si>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</si>
  <si>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</si>
  <si>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</si>
  <si>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</si>
  <si>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</si>
  <si>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</si>
  <si>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</si>
  <si>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</si>
  <si>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</si>
  <si>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</si>
  <si>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</si>
  <si>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</si>
  <si>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</si>
  <si>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</si>
  <si>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</si>
  <si>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</si>
  <si>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</si>
  <si>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</si>
  <si>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</si>
  <si>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</si>
  <si>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</si>
  <si>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</si>
  <si>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</si>
  <si>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</si>
  <si>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</si>
  <si>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</si>
  <si>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</si>
  <si>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</si>
  <si>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</si>
  <si>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</si>
  <si>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</si>
  <si>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</si>
  <si>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</si>
  <si>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</si>
  <si>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</si>
  <si>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</si>
  <si>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</si>
  <si>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</si>
  <si>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</si>
  <si>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</si>
  <si>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</si>
  <si>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</si>
  <si>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</si>
  <si>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</si>
  <si>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</si>
  <si>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</si>
  <si>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</si>
  <si>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</si>
  <si>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</si>
  <si>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</si>
  <si>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</si>
  <si>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</si>
  <si>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</si>
  <si>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</si>
  <si>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</si>
  <si>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</si>
  <si>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</si>
  <si>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</si>
  <si>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</si>
  <si>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</si>
  <si>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</si>
  <si>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</si>
  <si>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</si>
  <si>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</si>
  <si>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</si>
  <si>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</si>
  <si>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</si>
  <si>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</si>
  <si>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</si>
  <si>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</si>
  <si>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</si>
  <si>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</si>
  <si>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</si>
  <si>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</si>
  <si>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</si>
  <si>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</si>
  <si>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</si>
  <si>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</si>
  <si>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</si>
  <si>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</si>
  <si>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</si>
  <si>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</si>
  <si>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</si>
  <si>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</si>
  <si>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</si>
  <si>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</si>
  <si>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</si>
  <si>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</si>
  <si>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</si>
  <si>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</si>
  <si>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</si>
  <si>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</si>
  <si>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</si>
  <si>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</si>
  <si>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</si>
  <si>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</si>
  <si>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</si>
  <si>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</si>
  <si>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</si>
  <si>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</si>
  <si>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</si>
  <si>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</si>
  <si>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</si>
  <si>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</si>
  <si>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</si>
  <si>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</si>
  <si>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</si>
  <si>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</si>
  <si>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</si>
  <si>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</si>
  <si>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</si>
  <si>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</si>
  <si>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</si>
  <si>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</si>
  <si>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</si>
  <si>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</si>
  <si>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</si>
  <si>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</si>
  <si>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</si>
  <si>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</si>
  <si>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</si>
  <si>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</si>
  <si>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</si>
  <si>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</si>
  <si>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</si>
  <si>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</si>
  <si>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</si>
  <si>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</si>
  <si>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</si>
  <si>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</si>
  <si>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</si>
  <si>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</si>
  <si>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</si>
  <si>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</si>
  <si>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</si>
  <si>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</si>
  <si>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</si>
  <si>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</si>
  <si>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</si>
  <si>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</si>
  <si>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</si>
  <si>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</si>
  <si>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</si>
  <si>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</si>
  <si>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</si>
  <si>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</si>
  <si>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</si>
  <si>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</si>
  <si>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</si>
  <si>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</si>
  <si>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</si>
  <si>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</si>
  <si>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</si>
  <si>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</si>
  <si>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</si>
  <si>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</si>
  <si>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</si>
  <si>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</si>
  <si>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</si>
  <si>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</si>
  <si>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</si>
  <si>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</si>
  <si>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</si>
  <si>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</si>
  <si>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</si>
  <si>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</si>
  <si>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</si>
  <si>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</si>
  <si>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</si>
  <si>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</si>
  <si>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</si>
  <si>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</si>
  <si>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</si>
  <si>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</si>
  <si>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</si>
  <si>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</si>
  <si>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</si>
  <si>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</si>
  <si>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</si>
  <si>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</si>
  <si>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</si>
  <si>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</si>
  <si>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</si>
  <si>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</si>
  <si>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</si>
  <si>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</si>
  <si>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</si>
  <si>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</si>
  <si>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</si>
  <si>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</si>
  <si>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</si>
  <si>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</si>
  <si>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</si>
  <si>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</si>
  <si>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</si>
  <si>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</si>
  <si>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</si>
  <si>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</si>
  <si>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</si>
  <si>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</si>
  <si>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</si>
  <si>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</si>
  <si>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</si>
  <si>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</si>
  <si>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</si>
  <si>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</si>
  <si>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</si>
  <si>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</si>
  <si>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</si>
  <si>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</si>
  <si>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</si>
  <si>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</si>
  <si>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</si>
  <si>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</si>
  <si>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</si>
  <si>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</si>
  <si>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</si>
  <si>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</si>
  <si>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</si>
  <si>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</si>
  <si>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</si>
  <si>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</si>
  <si>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</si>
  <si>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</si>
  <si>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</si>
  <si>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</si>
  <si>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</si>
  <si>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</si>
  <si>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</si>
  <si>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</si>
  <si>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</si>
  <si>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</si>
  <si>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</si>
  <si>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</si>
  <si>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</si>
  <si>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</si>
  <si>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</si>
  <si>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</si>
  <si>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</si>
  <si>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</si>
  <si>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</si>
  <si>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</si>
  <si>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</si>
  <si>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</si>
  <si>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</si>
  <si>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</si>
  <si>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</si>
  <si>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</si>
  <si>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</si>
  <si>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</si>
  <si>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</si>
  <si>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</si>
  <si>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</si>
  <si>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</si>
  <si>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</si>
  <si>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</si>
  <si>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</si>
  <si>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</si>
  <si>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</si>
  <si>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</si>
  <si>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</si>
  <si>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</si>
  <si>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</si>
  <si>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</si>
  <si>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</si>
  <si>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</si>
  <si>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</si>
  <si>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</si>
  <si>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</si>
  <si>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</si>
  <si>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</si>
  <si>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</si>
  <si>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</si>
  <si>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</si>
  <si>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</si>
  <si>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</si>
  <si>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</si>
  <si>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</si>
  <si>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</si>
  <si>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</si>
  <si>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</si>
  <si>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</si>
  <si>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</si>
  <si>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</si>
  <si>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</si>
  <si>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</si>
  <si>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</si>
  <si>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</si>
  <si>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</si>
  <si>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</si>
  <si>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</si>
  <si>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</si>
  <si>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</si>
  <si>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</si>
  <si>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</si>
  <si>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</si>
  <si>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</si>
  <si>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</si>
  <si>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</si>
  <si>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</si>
  <si>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</si>
  <si>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</si>
  <si>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</si>
  <si>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</si>
  <si>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</si>
  <si>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</si>
  <si>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</si>
  <si>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</si>
  <si>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</si>
  <si>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</si>
  <si>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</si>
  <si>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</si>
  <si>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</si>
  <si>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</si>
  <si>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</si>
  <si>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</si>
  <si>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</si>
  <si>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</si>
  <si>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</si>
  <si>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</si>
  <si>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</si>
  <si>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</si>
  <si>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</si>
  <si>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</si>
  <si>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</si>
  <si>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</si>
  <si>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</si>
  <si>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</si>
  <si>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</si>
  <si>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</si>
  <si>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</si>
  <si>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</si>
  <si>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</si>
  <si>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</si>
  <si>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</si>
  <si>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</si>
  <si>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</si>
  <si>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</si>
  <si>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</si>
  <si>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</si>
  <si>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</si>
  <si>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</si>
  <si>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</si>
  <si>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</si>
  <si>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</si>
  <si>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</si>
  <si>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</si>
  <si>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</si>
  <si>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</si>
  <si>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</si>
  <si>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</si>
  <si>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</si>
  <si>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</si>
  <si>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</si>
  <si>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</si>
  <si>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</si>
  <si>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</si>
  <si>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</si>
  <si>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</si>
  <si>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</si>
  <si>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</si>
  <si>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</si>
  <si>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</si>
  <si>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</si>
  <si>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</si>
  <si>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</si>
  <si>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</si>
  <si>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</si>
  <si>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</si>
  <si>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</si>
  <si>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</si>
  <si>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</si>
  <si>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</si>
  <si>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</si>
  <si>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</si>
  <si>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</si>
  <si>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</si>
  <si>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</si>
  <si>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</si>
  <si>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</si>
  <si>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</si>
  <si>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</si>
  <si>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</si>
  <si>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</si>
  <si>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</si>
  <si>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</si>
  <si>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</si>
  <si>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</si>
  <si>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</si>
  <si>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</si>
  <si>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</si>
  <si>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</si>
  <si>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</si>
  <si>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</si>
  <si>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</si>
  <si>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</si>
  <si>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</si>
  <si>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</si>
  <si>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</si>
  <si>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</si>
  <si>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</si>
  <si>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</si>
  <si>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</si>
  <si>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</si>
  <si>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</si>
  <si>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</si>
  <si>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</si>
  <si>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</si>
  <si>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</si>
  <si>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</si>
  <si>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</si>
  <si>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</si>
  <si>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</si>
  <si>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</si>
  <si>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</si>
  <si>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</si>
  <si>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</si>
  <si>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</si>
  <si>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</si>
  <si>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</si>
  <si>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</si>
  <si>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</si>
  <si>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</si>
  <si>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</si>
  <si>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</si>
  <si>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</si>
  <si>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</si>
  <si>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</si>
  <si>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</si>
  <si>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</si>
  <si>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</si>
  <si>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</si>
  <si>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</si>
  <si>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</si>
  <si>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</si>
  <si>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</si>
  <si>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</si>
  <si>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</si>
  <si>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</si>
  <si>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</si>
  <si>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</si>
  <si>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</si>
  <si>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</si>
  <si>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</si>
  <si>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</si>
  <si>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</si>
  <si>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</si>
  <si>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</si>
  <si>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</si>
  <si>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</si>
  <si>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</si>
  <si>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</si>
  <si>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</si>
  <si>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</si>
  <si>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</si>
  <si>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</si>
  <si>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</si>
  <si>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</si>
  <si>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</si>
  <si>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</si>
  <si>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</si>
  <si>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</si>
  <si>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</si>
  <si>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</si>
  <si>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</si>
  <si>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</si>
  <si>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</si>
  <si>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</si>
  <si>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</si>
  <si>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</si>
  <si>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</si>
  <si>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</si>
  <si>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</si>
  <si>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</si>
  <si>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</si>
  <si>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</si>
  <si>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</si>
  <si>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</si>
  <si>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</si>
  <si>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</si>
  <si>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</si>
  <si>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</si>
  <si>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</si>
  <si>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</si>
  <si>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</si>
  <si>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</si>
  <si>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</si>
  <si>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</si>
  <si>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</si>
  <si>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</si>
  <si>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</si>
  <si>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</si>
  <si>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</si>
  <si>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</si>
  <si>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</si>
  <si>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</si>
  <si>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</si>
  <si>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</si>
  <si>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</si>
  <si>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</si>
  <si>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</si>
  <si>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</si>
  <si>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</si>
  <si>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</si>
  <si>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</si>
  <si>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</si>
  <si>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</si>
  <si>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</si>
  <si>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</si>
  <si>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</si>
  <si>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</si>
  <si>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</si>
  <si>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</si>
  <si>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</si>
  <si>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</si>
  <si>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</si>
  <si>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</si>
  <si>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</si>
  <si>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</si>
  <si>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</si>
  <si>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</si>
  <si>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</si>
  <si>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</si>
  <si>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</si>
  <si>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</si>
  <si>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</si>
  <si>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</si>
  <si>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</si>
  <si>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</si>
  <si>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</si>
  <si>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</si>
  <si>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</si>
  <si>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</si>
  <si>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</si>
  <si>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</si>
  <si>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</si>
  <si>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</si>
  <si>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</si>
  <si>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</si>
  <si>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</si>
  <si>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</si>
  <si>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</si>
  <si>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</si>
  <si>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</si>
  <si>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</si>
  <si>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</si>
  <si>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</si>
  <si>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</si>
  <si>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</si>
  <si>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</si>
  <si>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</si>
  <si>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</si>
  <si>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</si>
  <si>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</si>
  <si>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</si>
  <si>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</si>
  <si>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</si>
  <si>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</si>
  <si>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</si>
  <si>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</si>
  <si>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</si>
  <si>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</si>
  <si>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</si>
  <si>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</si>
  <si>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</si>
  <si>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</si>
  <si>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</si>
  <si>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</si>
  <si>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</si>
  <si>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</si>
  <si>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</si>
  <si>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</si>
  <si>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</si>
  <si>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</si>
  <si>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</si>
  <si>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</si>
  <si>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</si>
  <si>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</si>
  <si>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</si>
  <si>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</si>
  <si>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</si>
  <si>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</si>
  <si>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</si>
  <si>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</si>
  <si>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</si>
  <si>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</si>
  <si>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</si>
  <si>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</si>
  <si>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</si>
  <si>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</si>
  <si>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</si>
  <si>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</si>
  <si>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</si>
  <si>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</si>
  <si>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</si>
  <si>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</si>
  <si>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</si>
  <si>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</si>
  <si>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</si>
  <si>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</si>
  <si>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</si>
  <si>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</si>
  <si>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</si>
  <si>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</si>
  <si>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</si>
  <si>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</si>
  <si>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</si>
  <si>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</si>
  <si>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</si>
  <si>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</si>
  <si>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</si>
  <si>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</si>
  <si>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</si>
  <si>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</si>
  <si>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</si>
  <si>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</si>
  <si>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</si>
  <si>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</si>
  <si>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</si>
  <si>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</si>
  <si>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</si>
  <si>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</si>
  <si>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</si>
  <si>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</si>
  <si>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</si>
  <si>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</si>
  <si>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</si>
  <si>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</si>
  <si>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</si>
  <si>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</si>
  <si>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</si>
  <si>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</si>
  <si>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</si>
  <si>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</si>
  <si>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</si>
  <si>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</si>
  <si>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</si>
  <si>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</si>
  <si>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</si>
  <si>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</si>
  <si>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</si>
  <si>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</si>
  <si>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</si>
  <si>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</si>
  <si>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</si>
  <si>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</si>
  <si>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</si>
  <si>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</si>
  <si>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</si>
  <si>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</si>
  <si>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</si>
  <si>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</si>
  <si>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</si>
  <si>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</si>
  <si>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</si>
  <si>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</si>
  <si>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</si>
  <si>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</si>
  <si>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</si>
  <si>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</si>
  <si>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</si>
  <si>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</si>
  <si>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</si>
  <si>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</si>
  <si>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</si>
  <si>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</si>
  <si>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</si>
  <si>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</si>
  <si>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</si>
  <si>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</si>
  <si>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</si>
  <si>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</si>
  <si>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</si>
  <si>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</si>
  <si>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</si>
  <si>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</si>
  <si>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</si>
  <si>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</si>
  <si>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</si>
  <si>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</si>
  <si>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</si>
  <si>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</si>
  <si>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</si>
  <si>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</si>
  <si>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</si>
  <si>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</si>
  <si>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</si>
  <si>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</si>
  <si>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</si>
  <si>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</si>
  <si>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</si>
  <si>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</si>
  <si>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</si>
  <si>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</si>
  <si>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</si>
  <si>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</si>
  <si>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</si>
  <si>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</si>
  <si>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</si>
  <si>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</si>
  <si>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</si>
  <si>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</si>
  <si>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</si>
  <si>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</si>
  <si>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</si>
  <si>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</si>
  <si>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</si>
  <si>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</si>
  <si>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</si>
  <si>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</si>
  <si>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</si>
  <si>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</si>
  <si>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</si>
  <si>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</si>
  <si>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</si>
  <si>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</si>
  <si>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</si>
  <si>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</si>
  <si>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</si>
  <si>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</si>
  <si>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</si>
  <si>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</si>
  <si>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</si>
  <si>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</si>
  <si>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</si>
  <si>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</si>
  <si>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</si>
  <si>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</si>
  <si>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</si>
  <si>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</si>
  <si>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</si>
  <si>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</si>
  <si>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</si>
  <si>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</si>
  <si>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</si>
  <si>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</si>
  <si>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</si>
  <si>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</si>
  <si>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</si>
  <si>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</si>
  <si>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</si>
  <si>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</si>
  <si>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</si>
  <si>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</si>
  <si>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</si>
  <si>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</si>
  <si>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</si>
  <si>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</si>
  <si>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</si>
  <si>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</si>
  <si>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</si>
  <si>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</si>
  <si>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</si>
  <si>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</si>
  <si>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</si>
  <si>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</si>
  <si>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</si>
  <si>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</si>
  <si>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</si>
  <si>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</si>
  <si>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</si>
  <si>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</si>
  <si>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</si>
  <si>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</si>
  <si>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</si>
  <si>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</si>
  <si>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</si>
  <si>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</si>
  <si>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</si>
  <si>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</si>
  <si>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</si>
  <si>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</si>
  <si>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</si>
  <si>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</si>
  <si>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</si>
  <si>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</si>
  <si>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</si>
  <si>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</si>
  <si>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</si>
  <si>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</si>
  <si>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</si>
  <si>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</si>
  <si>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</si>
  <si>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</si>
  <si>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</si>
  <si>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</si>
  <si>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</si>
  <si>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</si>
  <si>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</si>
  <si>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</si>
  <si>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</si>
  <si>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</si>
  <si>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</si>
  <si>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</si>
  <si>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</si>
  <si>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</si>
  <si>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</si>
  <si>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</si>
  <si>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</si>
  <si>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</si>
  <si>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</si>
  <si>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</si>
  <si>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</si>
  <si>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</si>
  <si>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</si>
  <si>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</si>
  <si>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</si>
  <si>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</si>
  <si>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</si>
  <si>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</si>
  <si>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</si>
  <si>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</si>
  <si>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</si>
  <si>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</si>
  <si>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</si>
  <si>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</si>
  <si>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</si>
  <si>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</si>
  <si>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</si>
  <si>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</si>
  <si>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</si>
  <si>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</si>
  <si>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</si>
  <si>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</si>
  <si>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</si>
  <si>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</si>
  <si>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</si>
  <si>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</si>
  <si>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</si>
  <si>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</si>
  <si>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</si>
  <si>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</si>
  <si>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</si>
  <si>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</si>
  <si>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</si>
  <si>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</si>
  <si>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</si>
  <si>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</si>
  <si>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</si>
  <si>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</si>
  <si>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</si>
  <si>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</si>
  <si>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</si>
  <si>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</si>
  <si>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</si>
  <si>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</si>
  <si>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</si>
  <si>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</si>
  <si>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</si>
  <si>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</si>
  <si>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</si>
  <si>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</si>
  <si>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</si>
  <si>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</si>
  <si>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</si>
  <si>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</si>
  <si>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</si>
  <si>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</si>
  <si>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</si>
  <si>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</si>
  <si>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</si>
  <si>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</si>
  <si>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</si>
  <si>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</si>
  <si>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</si>
  <si>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</si>
  <si>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</si>
  <si>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</si>
  <si>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</si>
  <si>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</si>
  <si>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</si>
  <si>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</si>
  <si>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</si>
  <si>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</si>
  <si>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</si>
  <si>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</si>
  <si>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</si>
  <si>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</si>
  <si>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</si>
  <si>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</si>
  <si>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</si>
  <si>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</si>
  <si>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</si>
  <si>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</si>
  <si>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</si>
  <si>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</si>
  <si>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</si>
  <si>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</si>
  <si>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</si>
  <si>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</si>
  <si>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</si>
  <si>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</si>
  <si>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</si>
  <si>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</si>
  <si>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</si>
  <si>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</si>
  <si>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</si>
  <si>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</si>
  <si>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</si>
  <si>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</si>
  <si>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</si>
  <si>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</si>
  <si>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</si>
  <si>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</si>
  <si>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</si>
  <si>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</si>
  <si>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</si>
  <si>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</si>
  <si>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</si>
  <si>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</si>
  <si>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</si>
  <si>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</si>
  <si>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</si>
  <si>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</si>
  <si>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</si>
  <si>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</si>
  <si>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</si>
  <si>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</si>
  <si>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</si>
  <si>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</si>
  <si>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</si>
  <si>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</si>
  <si>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</si>
  <si>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</si>
  <si>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</si>
  <si>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</si>
  <si>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</si>
  <si>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</si>
  <si>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</si>
  <si>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</si>
  <si>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</si>
  <si>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</si>
  <si>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</si>
  <si>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</si>
  <si>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</si>
  <si>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</si>
  <si>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</si>
  <si>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</si>
  <si>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</si>
  <si>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</si>
  <si>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</si>
  <si>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</si>
  <si>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</si>
  <si>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</si>
  <si>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</si>
  <si>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</si>
  <si>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</si>
  <si>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</si>
  <si>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</si>
  <si>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</si>
  <si>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</si>
  <si>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</si>
  <si>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</si>
  <si>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</si>
  <si>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</si>
  <si>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</si>
  <si>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</si>
  <si>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</si>
  <si>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</si>
  <si>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</si>
  <si>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</si>
  <si>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</si>
  <si>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</si>
  <si>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</si>
  <si>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</si>
  <si>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</si>
  <si>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</si>
  <si>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</si>
  <si>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</si>
  <si>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</si>
  <si>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</si>
  <si>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</si>
  <si>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</si>
  <si>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</si>
  <si>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</si>
  <si>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</si>
  <si>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</si>
  <si>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</si>
  <si>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</si>
  <si>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</si>
  <si>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</si>
  <si>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</si>
  <si>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</si>
  <si>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</si>
  <si>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</si>
  <si>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</si>
  <si>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</si>
  <si>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</si>
  <si>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</si>
  <si>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</si>
  <si>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</si>
  <si>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</si>
  <si>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</si>
  <si>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</si>
  <si>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</si>
  <si>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</si>
  <si>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</si>
  <si>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</si>
  <si>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</si>
  <si>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</si>
  <si>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</si>
  <si>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</si>
  <si>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</si>
  <si>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</si>
  <si>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</si>
  <si>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</si>
  <si>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</si>
  <si>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</si>
  <si>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</si>
  <si>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</si>
  <si>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</si>
  <si>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</si>
  <si>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</si>
  <si>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</si>
  <si>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</si>
  <si>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</si>
  <si>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</si>
  <si>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</si>
  <si>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</si>
  <si>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</si>
  <si>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</si>
  <si>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</si>
  <si>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</si>
  <si>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</si>
  <si>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</si>
  <si>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</si>
  <si>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</si>
  <si>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</si>
  <si>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</si>
  <si>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</si>
  <si>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</si>
  <si>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</si>
  <si>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</si>
  <si>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</si>
  <si>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</si>
  <si>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</si>
  <si>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</si>
  <si>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</si>
  <si>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</si>
  <si>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</si>
  <si>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</si>
  <si>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</si>
  <si>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</si>
  <si>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</si>
  <si>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</si>
  <si>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</si>
  <si>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</si>
  <si>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</si>
  <si>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</si>
  <si>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</si>
  <si>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</si>
  <si>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</si>
  <si>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</si>
  <si>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</si>
  <si>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</si>
  <si>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</si>
  <si>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</si>
  <si>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</si>
  <si>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</si>
  <si>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</si>
  <si>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</si>
  <si>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</si>
  <si>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</si>
  <si>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</si>
  <si>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</si>
  <si>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</si>
  <si>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</si>
  <si>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</si>
  <si>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</si>
  <si>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</si>
  <si>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</si>
  <si>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</si>
  <si>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</si>
  <si>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</si>
  <si>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</si>
  <si>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</si>
  <si>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</si>
  <si>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</si>
  <si>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</si>
  <si>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</si>
  <si>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</si>
  <si>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</si>
  <si>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</si>
  <si>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</si>
  <si>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</si>
  <si>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</si>
  <si>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</si>
  <si>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</si>
  <si>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</si>
  <si>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</si>
  <si>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</si>
  <si>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</si>
  <si>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</si>
  <si>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</si>
  <si>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</si>
  <si>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</si>
  <si>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</si>
  <si>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</si>
  <si>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</si>
  <si>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</si>
  <si>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</si>
  <si>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</si>
  <si>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</si>
  <si>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</si>
  <si>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</si>
  <si>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</si>
  <si>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</si>
  <si>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</si>
  <si>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</si>
  <si>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</si>
  <si>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</si>
  <si>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</si>
  <si>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</si>
  <si>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</si>
  <si>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</si>
  <si>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</si>
  <si>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</si>
  <si>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</si>
  <si>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</si>
  <si>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</si>
  <si>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</si>
  <si>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</si>
  <si>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</si>
  <si>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</si>
  <si>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</si>
  <si>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</si>
  <si>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</si>
  <si>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</si>
  <si>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</si>
  <si>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</si>
  <si>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</si>
  <si>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</si>
  <si>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</si>
  <si>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</si>
  <si>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</si>
  <si>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</si>
  <si>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</si>
  <si>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</si>
  <si>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</si>
  <si>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</si>
  <si>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</si>
  <si>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</si>
  <si>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</si>
  <si>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</si>
  <si>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</si>
  <si>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</si>
  <si>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</si>
  <si>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</si>
  <si>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</si>
  <si>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</si>
  <si>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</si>
  <si>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</si>
  <si>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</si>
  <si>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</si>
  <si>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</si>
  <si>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</si>
  <si>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</si>
  <si>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</si>
  <si>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</si>
  <si>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</si>
  <si>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</si>
  <si>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</si>
  <si>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</si>
  <si>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</si>
  <si>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</si>
  <si>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</si>
  <si>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</si>
  <si>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</si>
  <si>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</si>
  <si>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</si>
  <si>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</si>
  <si>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</si>
  <si>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</si>
  <si>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</si>
  <si>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</si>
  <si>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</si>
  <si>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</si>
  <si>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</si>
  <si>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</si>
  <si>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</si>
  <si>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</si>
  <si>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</si>
  <si>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</si>
  <si>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</si>
  <si>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</si>
  <si>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</si>
  <si>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</si>
  <si>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</si>
  <si>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</si>
  <si>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</si>
  <si>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</si>
  <si>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</si>
  <si>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</si>
  <si>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</si>
  <si>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</si>
  <si>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</si>
  <si>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</si>
  <si>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</si>
  <si>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</si>
  <si>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</si>
  <si>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</si>
  <si>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</si>
  <si>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</si>
  <si>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</si>
  <si>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</si>
  <si>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</si>
  <si>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</si>
  <si>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</si>
  <si>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</si>
  <si>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</si>
  <si>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</si>
  <si>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</si>
  <si>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</si>
  <si>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</si>
  <si>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</si>
  <si>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</si>
  <si>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</si>
  <si>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</si>
  <si>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</si>
  <si>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</si>
  <si>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</si>
  <si>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</si>
  <si>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</si>
  <si>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</si>
  <si>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</si>
  <si>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</si>
  <si>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</si>
  <si>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</si>
  <si>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</si>
  <si>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</si>
  <si>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</si>
  <si>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</si>
  <si>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</si>
  <si>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</si>
  <si>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</si>
  <si>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</si>
  <si>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</si>
  <si>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</si>
  <si>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</si>
  <si>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</si>
  <si>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</si>
  <si>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</si>
  <si>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</si>
  <si>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</si>
  <si>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</si>
  <si>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</si>
  <si>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</si>
  <si>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</si>
  <si>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</si>
  <si>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</si>
  <si>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</si>
  <si>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</si>
  <si>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</si>
  <si>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</si>
  <si>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</si>
  <si>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</si>
  <si>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</si>
  <si>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</si>
  <si>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</si>
  <si>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</si>
  <si>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</si>
  <si>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</si>
  <si>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</si>
  <si>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</si>
  <si>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</si>
  <si>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</si>
  <si>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</si>
  <si>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</si>
  <si>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</si>
  <si>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</si>
  <si>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</si>
  <si>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</si>
  <si>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</si>
  <si>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</si>
  <si>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</si>
  <si>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</si>
  <si>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</si>
  <si>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</si>
  <si>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</si>
  <si>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</si>
  <si>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</si>
  <si>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</si>
  <si>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</si>
  <si>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</si>
  <si>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</si>
  <si>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</si>
  <si>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</si>
  <si>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</si>
  <si>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</si>
  <si>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</si>
  <si>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</si>
  <si>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</si>
  <si>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</si>
  <si>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</si>
  <si>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</si>
  <si>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</si>
  <si>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</si>
  <si>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</si>
  <si>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</si>
  <si>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</si>
  <si>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</si>
  <si>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</si>
  <si>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</si>
  <si>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</si>
  <si>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</si>
  <si>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</si>
  <si>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</si>
  <si>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</si>
  <si>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</si>
  <si>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</si>
  <si>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</si>
  <si>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</si>
  <si>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</si>
  <si>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</si>
  <si>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</si>
  <si>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</si>
  <si>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</si>
  <si>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</si>
  <si>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</si>
  <si>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</si>
  <si>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</si>
  <si>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</si>
  <si>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</si>
  <si>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</si>
  <si>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</si>
  <si>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</si>
  <si>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</si>
  <si>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</si>
  <si>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</si>
  <si>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</si>
  <si>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</si>
  <si>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</si>
  <si>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</si>
  <si>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</si>
  <si>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</si>
  <si>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</si>
  <si>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</si>
  <si>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</si>
  <si>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</si>
  <si>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</si>
  <si>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</si>
  <si>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</si>
  <si>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</si>
  <si>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</si>
  <si>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</si>
  <si>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</si>
  <si>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</si>
  <si>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</si>
  <si>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</si>
  <si>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</si>
  <si>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</si>
  <si>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</si>
  <si>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</si>
  <si>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</si>
  <si>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</si>
  <si>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</si>
  <si>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</si>
  <si>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</si>
  <si>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</si>
  <si>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</si>
  <si>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</si>
  <si>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</si>
  <si>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</si>
  <si>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</si>
  <si>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</si>
  <si>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</si>
  <si>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</si>
  <si>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</si>
  <si>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</si>
  <si>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</si>
  <si>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</si>
  <si>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</si>
  <si>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</si>
  <si>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</si>
  <si>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</si>
  <si>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</si>
  <si>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</si>
  <si>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</si>
  <si>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</si>
  <si>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</si>
  <si>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</si>
  <si>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</si>
  <si>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</si>
  <si>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</si>
  <si>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</si>
  <si>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</si>
  <si>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</si>
  <si>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</si>
  <si>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</si>
  <si>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</si>
  <si>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</si>
  <si>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</si>
  <si>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</si>
  <si>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</si>
  <si>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</si>
  <si>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</si>
  <si>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</si>
  <si>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</si>
  <si>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</si>
  <si>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</si>
  <si>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</si>
  <si>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</si>
  <si>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</si>
  <si>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</si>
  <si>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</si>
  <si>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</si>
  <si>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</si>
  <si>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</si>
  <si>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</si>
  <si>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</si>
  <si>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</si>
  <si>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</si>
  <si>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</si>
  <si>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</si>
  <si>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</si>
  <si>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</si>
  <si>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</si>
  <si>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</si>
  <si>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</si>
  <si>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</si>
  <si>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</si>
  <si>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</si>
  <si>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</si>
  <si>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</si>
  <si>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</si>
  <si>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</si>
  <si>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</si>
  <si>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</si>
  <si>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</si>
  <si>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</si>
  <si>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</si>
  <si>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</si>
  <si>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</si>
  <si>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</si>
  <si>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</si>
  <si>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</si>
  <si>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</si>
  <si>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</si>
  <si>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</si>
  <si>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</si>
  <si>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</si>
  <si>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</si>
  <si>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</si>
  <si>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</si>
  <si>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</si>
  <si>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</si>
  <si>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</si>
  <si>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</si>
  <si>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</si>
  <si>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</si>
  <si>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</si>
  <si>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</si>
  <si>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</si>
  <si>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</si>
  <si>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</si>
  <si>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</si>
  <si>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</si>
  <si>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</si>
  <si>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</si>
  <si>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</si>
  <si>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</si>
  <si>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</si>
  <si>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</si>
  <si>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</si>
  <si>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</si>
  <si>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</si>
  <si>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</si>
  <si>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</si>
  <si>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</si>
  <si>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</si>
  <si>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</si>
  <si>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</si>
  <si>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</si>
  <si>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</si>
  <si>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</si>
  <si>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</si>
  <si>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</si>
  <si>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</si>
  <si>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</si>
  <si>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</si>
  <si>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</si>
  <si>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</si>
  <si>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</si>
  <si>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</si>
  <si>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</si>
  <si>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</si>
  <si>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</si>
  <si>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</si>
  <si>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</si>
  <si>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</si>
  <si>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</si>
  <si>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</si>
  <si>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</si>
  <si>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</si>
  <si>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</si>
  <si>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</si>
  <si>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</si>
  <si>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</si>
  <si>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</si>
  <si>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</si>
  <si>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</si>
  <si>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</si>
  <si>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</si>
  <si>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</si>
  <si>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</si>
  <si>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</si>
  <si>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</si>
  <si>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</si>
  <si>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</si>
  <si>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</si>
  <si>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</si>
  <si>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</si>
  <si>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</si>
  <si>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</si>
  <si>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</si>
  <si>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</si>
  <si>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</si>
  <si>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</si>
  <si>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</si>
  <si>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</si>
  <si>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</si>
  <si>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</si>
  <si>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</si>
  <si>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</si>
  <si>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</si>
  <si>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</si>
  <si>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</si>
  <si>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</si>
  <si>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</si>
  <si>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</si>
  <si>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</si>
  <si>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</si>
  <si>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</si>
  <si>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</si>
  <si>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</si>
  <si>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</si>
  <si>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</si>
  <si>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</si>
  <si>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</si>
  <si>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</si>
  <si>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</si>
  <si>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</si>
  <si>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</si>
  <si>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</si>
  <si>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</si>
  <si>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</si>
  <si>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</si>
  <si>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</si>
  <si>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</si>
  <si>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</si>
  <si>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</si>
  <si>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</si>
  <si>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</si>
  <si>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</si>
  <si>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</si>
  <si>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</si>
  <si>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</si>
  <si>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</si>
  <si>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</si>
  <si>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</si>
  <si>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</si>
  <si>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</si>
  <si>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</si>
  <si>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</si>
  <si>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</si>
  <si>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</si>
  <si>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</si>
  <si>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</si>
  <si>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</si>
  <si>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</si>
  <si>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</si>
  <si>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</si>
  <si>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</si>
  <si>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</si>
  <si>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</si>
  <si>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</si>
  <si>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</si>
  <si>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</si>
  <si>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</si>
  <si>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</si>
  <si>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</si>
  <si>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</si>
  <si>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</si>
  <si>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</si>
  <si>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</si>
  <si>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</si>
  <si>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</si>
  <si>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</si>
  <si>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</si>
  <si>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</si>
  <si>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</si>
  <si>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</si>
  <si>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</si>
  <si>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</si>
  <si>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</si>
  <si>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</si>
  <si>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</si>
  <si>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</si>
  <si>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</si>
  <si>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</si>
  <si>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</si>
  <si>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</si>
  <si>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</si>
  <si>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</si>
  <si>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</si>
  <si>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</si>
  <si>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</si>
  <si>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</si>
  <si>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</si>
  <si>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</si>
  <si>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</si>
  <si>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</si>
  <si>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</si>
  <si>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</si>
  <si>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</si>
  <si>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</si>
  <si>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</si>
  <si>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</si>
  <si>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</si>
  <si>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</si>
  <si>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</si>
  <si>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</si>
  <si>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</si>
  <si>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</si>
  <si>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</si>
  <si>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</si>
  <si>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</si>
  <si>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</si>
  <si>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</si>
  <si>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</si>
  <si>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</si>
  <si>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</si>
  <si>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</si>
  <si>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</si>
  <si>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</si>
  <si>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</si>
  <si>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</si>
  <si>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</si>
  <si>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</si>
  <si>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</si>
  <si>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</si>
  <si>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</si>
  <si>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</si>
  <si>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</si>
  <si>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</si>
  <si>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</si>
  <si>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</si>
  <si>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</si>
  <si>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</si>
  <si>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</si>
  <si>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</si>
  <si>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</si>
  <si>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</si>
  <si>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</si>
  <si>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</si>
  <si>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</si>
  <si>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</si>
  <si>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</si>
  <si>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</si>
  <si>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</si>
  <si>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</si>
  <si>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</si>
  <si>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</si>
  <si>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</si>
  <si>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</si>
  <si>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</si>
  <si>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</si>
  <si>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</si>
  <si>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</si>
  <si>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</si>
  <si>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</si>
  <si>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</si>
  <si>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</si>
  <si>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</si>
  <si>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</si>
  <si>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</si>
  <si>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</si>
  <si>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</si>
  <si>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</si>
  <si>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</si>
  <si>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</si>
  <si>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</si>
  <si>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</si>
  <si>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</si>
  <si>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</si>
  <si>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</si>
  <si>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</si>
  <si>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</si>
  <si>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</si>
  <si>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</si>
  <si>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</si>
  <si>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</si>
  <si>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</si>
  <si>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</si>
  <si>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</si>
  <si>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</si>
  <si>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</si>
  <si>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</si>
  <si>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</si>
  <si>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</si>
  <si>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</si>
  <si>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</si>
  <si>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</si>
  <si>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</si>
  <si>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</si>
  <si>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</si>
  <si>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</si>
  <si>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</si>
  <si>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</si>
  <si>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</si>
  <si>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</si>
  <si>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</si>
  <si>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</si>
  <si>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</si>
  <si>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</si>
  <si>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</si>
  <si>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</si>
  <si>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</si>
  <si>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</si>
  <si>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</si>
  <si>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</si>
  <si>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</si>
  <si>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</si>
  <si>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</si>
  <si>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</si>
  <si>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</si>
  <si>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</si>
  <si>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</si>
  <si>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</si>
  <si>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</si>
  <si>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</si>
  <si>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</si>
  <si>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</si>
  <si>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</si>
  <si>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</si>
  <si>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</si>
  <si>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</si>
  <si>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</si>
  <si>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</si>
  <si>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</si>
  <si>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</si>
  <si>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</si>
  <si>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</si>
  <si>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</si>
  <si>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</si>
  <si>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</si>
  <si>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</si>
  <si>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</si>
  <si>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</si>
  <si>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</si>
  <si>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</si>
  <si>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</si>
  <si>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</si>
  <si>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</si>
  <si>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</si>
  <si>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</si>
  <si>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</si>
  <si>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</si>
  <si>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</si>
  <si>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</si>
  <si>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</si>
  <si>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</si>
  <si>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</si>
  <si>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</si>
  <si>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</si>
  <si>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</si>
  <si>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</si>
  <si>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</si>
  <si>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</si>
  <si>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</si>
  <si>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</si>
  <si>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</si>
  <si>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</si>
  <si>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</si>
  <si>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</si>
  <si>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</si>
  <si>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</si>
  <si>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</si>
  <si>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</si>
  <si>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</si>
  <si>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</si>
  <si>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</si>
  <si>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</si>
  <si>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</si>
  <si>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</si>
  <si>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</si>
  <si>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</si>
  <si>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</si>
  <si>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</si>
  <si>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</si>
  <si>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</si>
  <si>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</si>
  <si>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</si>
  <si>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</si>
  <si>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</si>
  <si>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</si>
  <si>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</si>
  <si>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</si>
  <si>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</si>
  <si>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</si>
  <si>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</si>
  <si>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</si>
  <si>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</si>
  <si>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</si>
  <si>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</si>
  <si>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</si>
  <si>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</si>
  <si>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</si>
  <si>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</si>
  <si>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</si>
  <si>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</si>
  <si>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</si>
  <si>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</si>
  <si>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</si>
  <si>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</si>
  <si>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</si>
  <si>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</si>
  <si>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</si>
  <si>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</si>
  <si>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</si>
  <si>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</si>
  <si>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</si>
  <si>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</si>
  <si>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</si>
  <si>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</si>
  <si>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</si>
  <si>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</si>
  <si>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</si>
  <si>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</si>
  <si>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</si>
  <si>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</si>
  <si>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</si>
  <si>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</si>
  <si>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</si>
  <si>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</si>
  <si>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</si>
  <si>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</si>
  <si>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</si>
  <si>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</si>
  <si>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</si>
  <si>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</si>
  <si>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</si>
  <si>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</si>
  <si>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</si>
  <si>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</si>
  <si>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</si>
  <si>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</si>
  <si>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</si>
  <si>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</si>
  <si>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</si>
  <si>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</si>
  <si>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</si>
  <si>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</si>
  <si>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</si>
  <si>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</si>
  <si>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</si>
  <si>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</si>
  <si>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</si>
  <si>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</si>
  <si>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</si>
  <si>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</si>
  <si>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</si>
  <si>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</si>
  <si>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</si>
  <si>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</si>
  <si>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</si>
  <si>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</si>
  <si>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</si>
  <si>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</si>
  <si>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</si>
  <si>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</si>
  <si>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</si>
  <si>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</si>
  <si>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</si>
  <si>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</si>
  <si>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</si>
  <si>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</si>
  <si>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</si>
  <si>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</si>
  <si>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</si>
  <si>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</si>
  <si>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</si>
  <si>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</si>
  <si>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</si>
  <si>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</si>
  <si>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</si>
  <si>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</si>
  <si>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</si>
  <si>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</si>
  <si>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</si>
  <si>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</si>
  <si>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</si>
  <si>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</si>
  <si>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</si>
  <si>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</si>
  <si>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</si>
  <si>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</si>
  <si>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</si>
  <si>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</si>
  <si>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</si>
  <si>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</si>
  <si>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</si>
  <si>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</si>
  <si>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</si>
  <si>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</si>
  <si>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</si>
  <si>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</si>
  <si>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</si>
  <si>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</si>
  <si>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</si>
  <si>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</si>
  <si>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</si>
  <si>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</si>
  <si>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</si>
  <si>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</si>
  <si>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</si>
  <si>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</si>
  <si>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</si>
  <si>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</si>
  <si>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</si>
  <si>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</si>
  <si>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</si>
  <si>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</si>
  <si>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</si>
  <si>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</si>
  <si>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</si>
  <si>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</si>
  <si>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</si>
  <si>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</si>
  <si>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</si>
  <si>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</si>
  <si>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</si>
  <si>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</si>
  <si>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</si>
  <si>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</si>
  <si>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</si>
  <si>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</si>
  <si>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</si>
  <si>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</si>
  <si>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</si>
  <si>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</si>
  <si>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</si>
  <si>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</si>
  <si>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</si>
  <si>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</si>
  <si>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</si>
  <si>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</si>
  <si>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</si>
  <si>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</si>
  <si>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</si>
  <si>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</si>
  <si>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</si>
  <si>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</si>
  <si>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</si>
  <si>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</si>
  <si>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</si>
  <si>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</si>
  <si>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</si>
  <si>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</si>
  <si>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</si>
  <si>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</si>
  <si>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</si>
  <si>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</si>
  <si>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</si>
  <si>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</si>
  <si>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</si>
  <si>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</si>
  <si>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</si>
  <si>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</si>
  <si>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</si>
  <si>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</si>
  <si>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</si>
  <si>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</si>
  <si>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</si>
  <si>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</si>
  <si>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</si>
  <si>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</si>
  <si>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</si>
  <si>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</si>
  <si>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</si>
  <si>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</si>
  <si>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</si>
  <si>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</si>
  <si>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</si>
  <si>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</si>
  <si>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</si>
  <si>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</si>
  <si>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</si>
  <si>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</si>
  <si>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</si>
  <si>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</si>
  <si>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</si>
  <si>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</si>
  <si>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</si>
  <si>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</si>
  <si>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</si>
  <si>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</si>
  <si>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</si>
  <si>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</si>
  <si>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</si>
  <si>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</si>
  <si>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</si>
  <si>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</si>
  <si>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</si>
  <si>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</si>
  <si>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</si>
  <si>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</si>
  <si>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</si>
  <si>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</si>
  <si>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</si>
  <si>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</si>
  <si>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</si>
  <si>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</si>
  <si>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</si>
  <si>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</si>
  <si>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</si>
  <si>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</si>
  <si>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</si>
  <si>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</si>
  <si>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</si>
  <si>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</si>
  <si>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</si>
  <si>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</si>
  <si>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</si>
  <si>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</si>
  <si>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</si>
  <si>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</si>
  <si>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</si>
  <si>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</si>
  <si>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</si>
  <si>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</si>
  <si>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</si>
  <si>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</si>
  <si>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</si>
  <si>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</si>
  <si>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</si>
  <si>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</si>
  <si>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</si>
  <si>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</si>
  <si>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</si>
  <si>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</si>
  <si>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</si>
  <si>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</si>
  <si>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</si>
  <si>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</si>
  <si>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</si>
  <si>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</si>
  <si>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</si>
  <si>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</si>
  <si>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</si>
  <si>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</si>
  <si>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</si>
  <si>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</si>
  <si>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</si>
  <si>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</si>
  <si>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</si>
  <si>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</si>
  <si>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</si>
  <si>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</si>
  <si>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</si>
  <si>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</si>
  <si>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</si>
  <si>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</si>
  <si>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</si>
  <si>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</si>
  <si>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</si>
  <si>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</si>
  <si>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</si>
  <si>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</si>
  <si>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</si>
  <si>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</si>
  <si>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</si>
  <si>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</si>
  <si>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</si>
  <si>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</si>
  <si>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</si>
  <si>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</si>
  <si>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</si>
  <si>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</si>
  <si>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</si>
  <si>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</si>
  <si>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</si>
  <si>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</si>
  <si>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</si>
  <si>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</si>
  <si>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</si>
  <si>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</si>
  <si>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</si>
  <si>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</si>
  <si>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</si>
  <si>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</si>
  <si>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</si>
  <si>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</si>
  <si>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</si>
  <si>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</si>
  <si>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</si>
  <si>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</si>
  <si>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</si>
  <si>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</si>
  <si>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</si>
  <si>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</si>
  <si>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</si>
  <si>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</si>
  <si>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</si>
  <si>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</si>
  <si>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</si>
  <si>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</si>
  <si>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</si>
  <si>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</si>
  <si>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</si>
  <si>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</si>
  <si>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</si>
  <si>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</si>
  <si>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</si>
  <si>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</si>
  <si>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</si>
  <si>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</si>
  <si>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</si>
  <si>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</si>
  <si>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</si>
  <si>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</si>
  <si>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</si>
  <si>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</si>
  <si>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</si>
  <si>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</si>
  <si>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</si>
  <si>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</si>
  <si>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</si>
  <si>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</si>
  <si>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</si>
  <si>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</si>
  <si>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</si>
  <si>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</si>
  <si>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</si>
  <si>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</si>
  <si>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</si>
  <si>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</si>
  <si>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</si>
  <si>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</si>
  <si>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</si>
  <si>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</si>
  <si>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</si>
  <si>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</si>
  <si>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</si>
  <si>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</si>
  <si>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</si>
  <si>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</si>
  <si>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</si>
  <si>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</si>
  <si>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</si>
  <si>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</si>
  <si>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</si>
  <si>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</si>
  <si>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</si>
  <si>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</si>
  <si>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</si>
  <si>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</si>
  <si>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</si>
  <si>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</si>
  <si>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</si>
  <si>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</si>
  <si>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</si>
  <si>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</si>
  <si>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</si>
  <si>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</si>
  <si>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</si>
  <si>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</si>
  <si>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</si>
  <si>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</si>
  <si>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</si>
  <si>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</si>
  <si>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</si>
  <si>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</si>
  <si>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</si>
  <si>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</si>
  <si>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</si>
  <si>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</si>
  <si>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</si>
  <si>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</si>
  <si>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</si>
  <si>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</si>
  <si>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</si>
  <si>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</si>
  <si>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</si>
  <si>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</si>
  <si>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</si>
  <si>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</si>
  <si>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</si>
  <si>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</si>
  <si>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</si>
  <si>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</si>
  <si>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</si>
  <si>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</si>
  <si>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</si>
  <si>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</si>
  <si>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</si>
  <si>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</si>
  <si>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</si>
  <si>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</si>
  <si>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</si>
  <si>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</si>
  <si>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</si>
  <si>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</si>
  <si>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</si>
  <si>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</si>
  <si>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</si>
  <si>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</si>
  <si>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</si>
  <si>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</si>
  <si>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</si>
  <si>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</si>
  <si>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</si>
  <si>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</si>
  <si>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</si>
  <si>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</si>
  <si>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</si>
  <si>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</si>
  <si>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</si>
  <si>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</si>
  <si>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</si>
  <si>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</si>
  <si>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</si>
  <si>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</si>
  <si>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</si>
  <si>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</si>
  <si>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</si>
  <si>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</si>
  <si>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</si>
  <si>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</si>
  <si>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</si>
  <si>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</si>
  <si>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</si>
  <si>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</si>
  <si>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</si>
  <si>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</si>
  <si>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</si>
  <si>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</si>
  <si>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</si>
  <si>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</si>
  <si>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</si>
  <si>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</si>
  <si>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</si>
  <si>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</si>
  <si>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</si>
  <si>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</si>
  <si>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</si>
  <si>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</si>
  <si>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</si>
  <si>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</si>
  <si>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</si>
  <si>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</si>
  <si>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</si>
  <si>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</si>
  <si>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</si>
  <si>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</si>
  <si>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</si>
  <si>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</si>
  <si>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</si>
  <si>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</si>
  <si>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</si>
  <si>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</si>
  <si>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</si>
  <si>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</si>
  <si>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</si>
  <si>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</si>
  <si>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</si>
  <si>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</si>
  <si>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</si>
  <si>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</si>
  <si>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</si>
  <si>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</si>
  <si>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</si>
  <si>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</si>
  <si>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</si>
  <si>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</si>
  <si>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</si>
  <si>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</si>
  <si>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</si>
  <si>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</si>
  <si>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</si>
  <si>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</si>
  <si>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</si>
  <si>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</si>
  <si>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</si>
  <si>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</si>
  <si>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</si>
  <si>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</si>
  <si>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</si>
  <si>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</si>
  <si>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</si>
  <si>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</si>
  <si>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</si>
  <si>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</si>
  <si>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</si>
  <si>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</si>
  <si>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</si>
  <si>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</si>
  <si>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</si>
  <si>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</si>
  <si>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</si>
  <si>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</si>
  <si>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</si>
  <si>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</si>
  <si>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</si>
  <si>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</si>
  <si>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</si>
  <si>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</si>
  <si>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</si>
  <si>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</si>
  <si>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</si>
  <si>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</si>
  <si>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</si>
  <si>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</si>
  <si>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</si>
  <si>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</si>
  <si>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</si>
  <si>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</si>
  <si>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</si>
  <si>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</si>
  <si>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</si>
  <si>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</si>
  <si>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</si>
  <si>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</si>
  <si>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</si>
  <si>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</si>
  <si>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</si>
  <si>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</si>
  <si>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</si>
  <si>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</si>
  <si>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</si>
  <si>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</si>
  <si>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</si>
  <si>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</si>
  <si>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</si>
  <si>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</si>
  <si>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</si>
  <si>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</si>
  <si>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</si>
  <si>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</si>
  <si>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</si>
  <si>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</si>
  <si>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</si>
  <si>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</si>
  <si>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</si>
  <si>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</si>
  <si>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</si>
  <si>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</si>
  <si>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</si>
  <si>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</si>
  <si>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</si>
  <si>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</si>
  <si>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</si>
  <si>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</si>
  <si>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</si>
  <si>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</si>
  <si>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</si>
  <si>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</si>
  <si>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</si>
  <si>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</si>
  <si>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</si>
  <si>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</si>
  <si>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</si>
  <si>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</si>
  <si>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</si>
  <si>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</si>
  <si>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</si>
  <si>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</si>
  <si>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</si>
  <si>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</si>
  <si>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</si>
  <si>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</si>
  <si>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</si>
  <si>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</si>
  <si>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</si>
  <si>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</si>
  <si>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</si>
  <si>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</si>
  <si>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</si>
  <si>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</si>
  <si>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</si>
  <si>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</si>
  <si>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</si>
  <si>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</si>
  <si>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</si>
  <si>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</si>
  <si>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</si>
  <si>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</si>
  <si>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</si>
  <si>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</si>
  <si>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</si>
  <si>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</si>
  <si>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</si>
  <si>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</si>
  <si>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</si>
  <si>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</si>
  <si>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</si>
  <si>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</si>
  <si>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</si>
  <si>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</si>
  <si>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</si>
  <si>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</si>
  <si>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</si>
  <si>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</si>
  <si>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</si>
  <si>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</si>
  <si>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</si>
  <si>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</si>
  <si>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</si>
  <si>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</si>
  <si>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</si>
  <si>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</si>
  <si>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</si>
  <si>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</si>
  <si>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</si>
  <si>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</si>
  <si>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</si>
  <si>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</si>
  <si>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</si>
  <si>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</si>
  <si>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</si>
  <si>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</si>
  <si>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</si>
  <si>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</si>
  <si>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</si>
  <si>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</si>
  <si>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</si>
  <si>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</si>
  <si>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</si>
  <si>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</si>
  <si>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</si>
  <si>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</si>
  <si>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</si>
  <si>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</si>
  <si>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</si>
  <si>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</si>
  <si>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</si>
  <si>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</si>
  <si>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</si>
  <si>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</si>
  <si>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</si>
  <si>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</si>
  <si>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</si>
  <si>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</si>
  <si>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</si>
  <si>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</si>
  <si>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</si>
  <si>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</si>
  <si>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</si>
  <si>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</si>
  <si>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</si>
  <si>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</si>
  <si>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</si>
  <si>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</si>
  <si>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</si>
  <si>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</si>
  <si>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</si>
  <si>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</si>
  <si>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</si>
  <si>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</si>
  <si>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</si>
  <si>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</si>
  <si>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</si>
  <si>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</si>
  <si>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</si>
  <si>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</si>
  <si>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</si>
  <si>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</si>
  <si>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</si>
  <si>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</si>
  <si>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</si>
  <si>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</si>
  <si>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</si>
  <si>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</si>
  <si>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</si>
  <si>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</si>
  <si>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</si>
  <si>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</si>
  <si>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</si>
  <si>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</si>
  <si>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</si>
  <si>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</si>
  <si>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</si>
  <si>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</si>
  <si>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</si>
  <si>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</si>
  <si>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</si>
  <si>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</si>
  <si>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</si>
  <si>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</si>
  <si>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</si>
  <si>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</si>
  <si>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</si>
  <si>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</si>
  <si>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</si>
  <si>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</si>
  <si>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</si>
  <si>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</si>
  <si>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</si>
  <si>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</si>
  <si>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</si>
  <si>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</si>
  <si>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</si>
  <si>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</si>
  <si>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</si>
  <si>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</si>
  <si>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</si>
  <si>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</si>
  <si>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</si>
  <si>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</si>
  <si>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</si>
  <si>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</si>
  <si>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</si>
  <si>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</si>
  <si>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</si>
  <si>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</si>
  <si>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</si>
  <si>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</si>
  <si>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</si>
  <si>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</si>
  <si>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</si>
  <si>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</si>
  <si>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</si>
  <si>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</si>
  <si>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</si>
  <si>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</si>
  <si>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</si>
  <si>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</si>
  <si>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</si>
  <si>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</si>
  <si>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</si>
  <si>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</si>
  <si>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</si>
  <si>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</si>
  <si>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</si>
  <si>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</si>
  <si>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</si>
  <si>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</si>
  <si>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</si>
  <si>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</si>
  <si>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</si>
  <si>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</si>
  <si>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</si>
  <si>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</si>
  <si>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</si>
  <si>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</si>
  <si>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</si>
  <si>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</si>
  <si>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</si>
  <si>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</si>
  <si>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</si>
  <si>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</si>
  <si>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</si>
  <si>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</si>
  <si>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</si>
  <si>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</si>
  <si>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</si>
  <si>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</si>
  <si>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</si>
  <si>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</si>
  <si>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</si>
  <si>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</si>
  <si>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</si>
  <si>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</si>
  <si>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</si>
  <si>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</si>
  <si>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</si>
  <si>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</si>
  <si>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</si>
  <si>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</si>
  <si>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</si>
  <si>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</si>
  <si>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</si>
  <si>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</si>
  <si>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</si>
  <si>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</si>
  <si>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</si>
  <si>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</si>
  <si>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</si>
  <si>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</si>
  <si>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</si>
  <si>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</si>
  <si>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</si>
  <si>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</si>
  <si>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</si>
  <si>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</si>
  <si>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</si>
  <si>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</si>
  <si>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</si>
  <si>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</si>
  <si>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</si>
  <si>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</si>
  <si>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</si>
  <si>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</si>
  <si>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</si>
  <si>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</si>
  <si>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</si>
  <si>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</si>
  <si>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</si>
  <si>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</si>
  <si>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</si>
  <si>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</si>
  <si>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</si>
  <si>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</si>
  <si>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</si>
  <si>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</si>
  <si>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</si>
  <si>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</si>
  <si>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</si>
  <si>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</si>
  <si>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</si>
  <si>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</si>
  <si>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</si>
  <si>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</si>
  <si>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</si>
  <si>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</si>
  <si>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</si>
  <si>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</si>
  <si>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</si>
  <si>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</si>
  <si>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</si>
  <si>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</si>
  <si>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</si>
  <si>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</si>
  <si>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</si>
  <si>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</si>
  <si>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</si>
  <si>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</si>
  <si>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</si>
  <si>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</si>
  <si>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</si>
  <si>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</si>
  <si>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</si>
  <si>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</si>
  <si>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</si>
  <si>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</si>
  <si>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</si>
  <si>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</si>
  <si>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</si>
  <si>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</si>
  <si>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</si>
  <si>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</si>
  <si>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</si>
  <si>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</si>
  <si>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</si>
  <si>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</si>
  <si>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</si>
  <si>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</si>
  <si>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</si>
  <si>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</si>
  <si>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</si>
  <si>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</si>
  <si>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</si>
  <si>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</si>
  <si>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</si>
  <si>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</si>
  <si>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</si>
  <si>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</si>
  <si>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</si>
  <si>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</si>
  <si>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</si>
  <si>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</si>
  <si>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</si>
  <si>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</si>
  <si>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</si>
  <si>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</si>
  <si>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</si>
  <si>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</si>
  <si>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</si>
  <si>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</si>
  <si>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</si>
  <si>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</si>
  <si>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</si>
  <si>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</si>
  <si>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</si>
  <si>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</si>
  <si>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</si>
  <si>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</si>
  <si>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</si>
  <si>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</si>
  <si>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</si>
  <si>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</si>
  <si>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</si>
  <si>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</si>
  <si>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</si>
  <si>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</si>
  <si>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</si>
  <si>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</si>
  <si>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</si>
  <si>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</si>
  <si>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</si>
  <si>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</si>
  <si>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</si>
  <si>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</si>
  <si>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</si>
  <si>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</si>
  <si>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</si>
  <si>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</si>
  <si>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</si>
  <si>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</si>
  <si>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</si>
  <si>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</si>
  <si>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</si>
  <si>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</si>
  <si>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</si>
  <si>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</si>
  <si>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</si>
  <si>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</si>
  <si>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</si>
  <si>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</si>
  <si>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</si>
  <si>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</si>
  <si>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</si>
  <si>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</si>
  <si>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</si>
  <si>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</si>
  <si>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</si>
  <si>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</si>
  <si>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</si>
  <si>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</si>
  <si>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</si>
  <si>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</si>
  <si>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</si>
  <si>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</si>
  <si>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</si>
  <si>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</si>
  <si>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</si>
  <si>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</si>
  <si>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</si>
  <si>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</si>
  <si>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</si>
  <si>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</si>
  <si>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</si>
  <si>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</si>
  <si>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</si>
  <si>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</si>
  <si>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</si>
  <si>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</si>
  <si>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</si>
  <si>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</si>
  <si>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</si>
  <si>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</si>
  <si>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</si>
  <si>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</si>
  <si>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</si>
  <si>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</si>
  <si>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</si>
  <si>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</si>
  <si>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</si>
  <si>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</si>
  <si>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</si>
  <si>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</si>
  <si>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</si>
  <si>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</si>
  <si>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</si>
  <si>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</si>
  <si>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</si>
  <si>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</si>
  <si>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</si>
  <si>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</si>
  <si>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</si>
  <si>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</si>
  <si>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</si>
  <si>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</si>
  <si>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</si>
  <si>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</si>
  <si>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</si>
  <si>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</si>
  <si>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</si>
  <si>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</si>
  <si>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</si>
  <si>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</si>
  <si>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</si>
  <si>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</si>
  <si>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</si>
  <si>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</si>
  <si>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</si>
  <si>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</si>
  <si>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</si>
  <si>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</si>
  <si>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</si>
  <si>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</si>
  <si>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</si>
  <si>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</si>
  <si>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</si>
  <si>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</si>
  <si>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</si>
  <si>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</si>
  <si>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</si>
  <si>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</si>
  <si>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</si>
  <si>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</si>
  <si>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</si>
  <si>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</si>
  <si>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</si>
  <si>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</si>
  <si>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</si>
  <si>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</si>
  <si>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</si>
  <si>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</si>
  <si>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</si>
  <si>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</si>
  <si>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</si>
  <si>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</si>
  <si>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</si>
  <si>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</si>
  <si>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</si>
  <si>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</si>
  <si>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</si>
  <si>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</si>
  <si>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</si>
  <si>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</si>
  <si>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</si>
  <si>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</si>
  <si>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</si>
  <si>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</si>
  <si>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</si>
  <si>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</si>
  <si>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</si>
  <si>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</si>
  <si>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</si>
  <si>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</si>
  <si>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</si>
  <si>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</si>
  <si>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</si>
  <si>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</si>
  <si>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</si>
  <si>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</si>
  <si>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</si>
  <si>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</si>
  <si>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</si>
  <si>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</si>
  <si>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</si>
  <si>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</si>
  <si>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</si>
  <si>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</si>
  <si>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</si>
  <si>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</si>
  <si>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</si>
  <si>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</si>
  <si>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</si>
  <si>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</si>
  <si>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</si>
  <si>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</si>
  <si>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</si>
  <si>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</si>
  <si>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</si>
  <si>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</si>
  <si>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</si>
  <si>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</si>
  <si>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</si>
  <si>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</si>
  <si>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</si>
  <si>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</si>
  <si>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</si>
  <si>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</si>
  <si>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</si>
  <si>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</si>
  <si>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</si>
  <si>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</si>
  <si>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</si>
  <si>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</si>
  <si>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</si>
  <si>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</si>
  <si>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</si>
  <si>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</si>
  <si>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</si>
  <si>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</si>
  <si>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</si>
  <si>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</si>
  <si>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</si>
  <si>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</si>
  <si>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</si>
  <si>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</si>
  <si>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</si>
  <si>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</si>
  <si>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</si>
  <si>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</si>
  <si>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</si>
  <si>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</si>
  <si>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</si>
  <si>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</si>
  <si>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</si>
  <si>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</si>
  <si>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</si>
  <si>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</si>
  <si>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</si>
  <si>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</si>
  <si>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</si>
  <si>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</si>
  <si>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</si>
  <si>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</si>
  <si>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</si>
  <si>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</si>
  <si>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</si>
  <si>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</si>
  <si>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</si>
  <si>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</si>
  <si>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</si>
  <si>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</si>
  <si>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</si>
  <si>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</si>
  <si>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</si>
  <si>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</si>
  <si>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</si>
  <si>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</si>
  <si>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</si>
  <si>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</si>
  <si>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</si>
  <si>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</si>
  <si>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</si>
  <si>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</si>
  <si>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</si>
  <si>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</si>
  <si>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</si>
  <si>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</si>
  <si>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</si>
  <si>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</si>
  <si>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</si>
  <si>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</si>
  <si>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</si>
  <si>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</si>
  <si>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</si>
  <si>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</si>
  <si>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</si>
  <si>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</si>
  <si>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</si>
  <si>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</si>
  <si>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</si>
  <si>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</si>
  <si>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</si>
  <si>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</si>
  <si>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</si>
  <si>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</si>
  <si>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</si>
  <si>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</si>
  <si>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</si>
  <si>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</si>
  <si>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</si>
  <si>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</si>
  <si>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</si>
  <si>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</si>
  <si>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</si>
  <si>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</si>
  <si>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</si>
  <si>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</si>
  <si>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</si>
  <si>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</si>
  <si>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</si>
  <si>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</si>
  <si>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</si>
  <si>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</si>
  <si>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</si>
  <si>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</si>
  <si>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</si>
  <si>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</si>
  <si>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</si>
  <si>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</si>
  <si>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</si>
  <si>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</si>
  <si>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</si>
  <si>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</si>
  <si>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</si>
  <si>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</si>
  <si>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</si>
  <si>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</si>
  <si>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</si>
  <si>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</si>
  <si>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</si>
  <si>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</si>
  <si>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</si>
  <si>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</si>
  <si>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</si>
  <si>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</si>
  <si>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</si>
  <si>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</si>
  <si>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</si>
  <si>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</si>
  <si>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</si>
  <si>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</si>
  <si>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</si>
  <si>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</si>
  <si>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</si>
  <si>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</si>
  <si>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</si>
  <si>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</si>
  <si>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</si>
  <si>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</si>
  <si>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</si>
  <si>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</si>
  <si>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</si>
  <si>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</si>
  <si>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</si>
  <si>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</si>
  <si>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</si>
  <si>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</si>
  <si>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</si>
  <si>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</si>
  <si>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</si>
  <si>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</si>
  <si>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</si>
  <si>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</si>
  <si>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</si>
  <si>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</si>
  <si>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</si>
  <si>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</si>
  <si>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</si>
  <si>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</si>
  <si>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</si>
  <si>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</si>
  <si>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</si>
  <si>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</si>
  <si>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</si>
  <si>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</si>
  <si>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</si>
  <si>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</si>
  <si>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</si>
  <si>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</si>
  <si>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</si>
  <si>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</si>
  <si>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</si>
  <si>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</si>
  <si>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</si>
  <si>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</si>
  <si>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</si>
  <si>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</si>
  <si>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</si>
  <si>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</si>
  <si>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</si>
  <si>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</si>
  <si>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</si>
  <si>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</si>
  <si>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</si>
  <si>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</si>
  <si>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</si>
  <si>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</si>
  <si>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</si>
  <si>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</si>
  <si>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</si>
  <si>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</si>
  <si>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</si>
  <si>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</si>
  <si>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</si>
  <si>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</si>
  <si>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</si>
  <si>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</si>
  <si>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</si>
  <si>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</si>
  <si>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</si>
  <si>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</si>
  <si>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</si>
  <si>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</si>
  <si>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</si>
  <si>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</si>
  <si>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</si>
  <si>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</si>
  <si>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</si>
  <si>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</si>
  <si>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</si>
  <si>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</si>
  <si>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</si>
  <si>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</si>
  <si>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</si>
  <si>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</si>
  <si>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</si>
  <si>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</si>
  <si>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</si>
  <si>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</si>
  <si>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</si>
  <si>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</si>
  <si>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</si>
  <si>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</si>
  <si>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</si>
  <si>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</si>
  <si>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</si>
  <si>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</si>
  <si>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</si>
  <si>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</si>
  <si>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</si>
  <si>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</si>
  <si>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</si>
  <si>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</si>
  <si>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</si>
  <si>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</si>
  <si>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</si>
  <si>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</si>
  <si>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</si>
  <si>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</si>
  <si>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</si>
  <si>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</si>
  <si>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</si>
  <si>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</si>
  <si>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</si>
  <si>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</si>
  <si>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</si>
  <si>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</si>
  <si>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</si>
  <si>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</si>
  <si>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</si>
  <si>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</si>
  <si>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</si>
  <si>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</si>
  <si>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</si>
  <si>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</si>
  <si>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</si>
  <si>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</si>
  <si>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</si>
  <si>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</si>
  <si>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</si>
  <si>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</si>
  <si>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</si>
  <si>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</si>
  <si>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</si>
  <si>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</si>
  <si>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</si>
  <si>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</si>
  <si>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</si>
  <si>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</si>
  <si>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</si>
  <si>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</si>
  <si>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</si>
  <si>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</si>
  <si>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</si>
  <si>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</si>
  <si>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</si>
  <si>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</si>
  <si>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</si>
  <si>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</si>
  <si>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</si>
  <si>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</si>
  <si>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</si>
  <si>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</si>
  <si>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</si>
  <si>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</si>
  <si>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</si>
  <si>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</si>
  <si>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</si>
  <si>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</si>
  <si>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</si>
  <si>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</si>
  <si>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</si>
  <si>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</si>
  <si>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</si>
  <si>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</si>
  <si>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</si>
  <si>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</si>
  <si>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</si>
  <si>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</si>
  <si>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</si>
  <si>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</si>
  <si>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</si>
  <si>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</si>
  <si>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</si>
  <si>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</si>
  <si>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</si>
  <si>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</si>
  <si>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</si>
  <si>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</si>
  <si>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</si>
  <si>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</si>
  <si>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</si>
  <si>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</si>
  <si>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</si>
  <si>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</si>
  <si>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</si>
  <si>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</si>
  <si>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</si>
  <si>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</si>
  <si>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</si>
  <si>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</si>
  <si>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</si>
  <si>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</si>
  <si>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</si>
  <si>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</si>
  <si>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</si>
  <si>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</si>
  <si>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</si>
  <si>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</si>
  <si>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</si>
  <si>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</si>
  <si>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</si>
  <si>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</si>
  <si>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</si>
  <si>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</si>
  <si>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</si>
  <si>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</si>
  <si>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</si>
  <si>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</si>
  <si>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</si>
  <si>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</si>
  <si>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</si>
  <si>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</si>
  <si>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</si>
  <si>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</si>
  <si>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</si>
  <si>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</si>
  <si>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</si>
  <si>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</si>
  <si>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</si>
  <si>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</si>
  <si>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</si>
  <si>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</si>
  <si>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</si>
  <si>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</si>
  <si>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</si>
  <si>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</si>
  <si>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</si>
  <si>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</si>
  <si>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</si>
  <si>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</si>
  <si>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</si>
  <si>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</si>
  <si>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</si>
  <si>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</si>
  <si>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</si>
  <si>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</si>
  <si>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</si>
  <si>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</si>
  <si>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</si>
  <si>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</si>
  <si>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</si>
  <si>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</si>
  <si>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</si>
  <si>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</si>
  <si>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</si>
  <si>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</si>
  <si>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</si>
  <si>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</si>
  <si>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</si>
  <si>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</si>
  <si>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</si>
  <si>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</si>
  <si>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</si>
  <si>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</si>
  <si>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</si>
  <si>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</si>
  <si>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</si>
  <si>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</si>
  <si>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</si>
  <si>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</si>
  <si>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</si>
  <si>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</si>
  <si>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</si>
  <si>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</si>
  <si>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</si>
  <si>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</si>
  <si>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</si>
  <si>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</si>
  <si>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</si>
  <si>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</si>
  <si>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</si>
  <si>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</si>
  <si>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</si>
  <si>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</si>
  <si>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</si>
  <si>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</si>
  <si>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</si>
  <si>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</si>
  <si>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</si>
  <si>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</si>
  <si>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</si>
  <si>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</si>
  <si>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</si>
  <si>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</si>
  <si>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</si>
  <si>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</si>
  <si>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</si>
  <si>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</si>
  <si>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</si>
  <si>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</si>
  <si>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</si>
  <si>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</si>
  <si>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</si>
  <si>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</si>
  <si>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</si>
  <si>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</si>
  <si>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</si>
  <si>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</si>
  <si>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</si>
  <si>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</si>
  <si>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</si>
  <si>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</si>
  <si>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</si>
  <si>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</si>
  <si>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</si>
  <si>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</si>
  <si>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</si>
  <si>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</si>
  <si>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</si>
  <si>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</si>
  <si>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</si>
  <si>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</si>
  <si>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</si>
  <si>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</si>
  <si>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</si>
  <si>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</si>
  <si>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</si>
  <si>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</si>
  <si>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</si>
  <si>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</si>
  <si>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</si>
  <si>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</si>
  <si>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</si>
  <si>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</si>
  <si>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</si>
  <si>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</si>
  <si>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</si>
  <si>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</si>
  <si>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</si>
  <si>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</si>
  <si>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</si>
  <si>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</si>
  <si>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</si>
  <si>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</si>
  <si>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</si>
  <si>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</si>
  <si>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</si>
  <si>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</si>
  <si>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</si>
  <si>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</si>
  <si>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</si>
  <si>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</si>
  <si>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</si>
  <si>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</si>
  <si>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</si>
  <si>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</si>
  <si>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</si>
  <si>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</si>
  <si>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</si>
  <si>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</si>
  <si>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</si>
  <si>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</si>
  <si>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</si>
  <si>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</si>
  <si>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</si>
  <si>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</si>
  <si>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</si>
  <si>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</si>
  <si>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</si>
  <si>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</si>
  <si>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</si>
  <si>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</si>
  <si>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</si>
  <si>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</si>
  <si>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</si>
  <si>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</si>
  <si>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</si>
  <si>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</si>
  <si>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</si>
  <si>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</si>
  <si>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</si>
  <si>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</si>
  <si>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</si>
  <si>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</si>
  <si>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</si>
  <si>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</si>
  <si>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</si>
  <si>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</si>
  <si>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</si>
  <si>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</si>
  <si>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</si>
  <si>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</si>
  <si>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</si>
  <si>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</si>
  <si>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</si>
  <si>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</si>
  <si>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</si>
  <si>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</si>
  <si>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</si>
  <si>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</si>
  <si>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</si>
  <si>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</si>
  <si>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</si>
  <si>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</si>
  <si>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</si>
  <si>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</si>
  <si>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</si>
  <si>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</si>
  <si>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</si>
  <si>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</si>
  <si>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</si>
  <si>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</si>
  <si>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</si>
  <si>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</si>
  <si>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</si>
  <si>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</si>
  <si>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</si>
  <si>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</si>
  <si>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</si>
  <si>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</si>
  <si>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</si>
  <si>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</si>
  <si>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</si>
  <si>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</si>
  <si>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</si>
  <si>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</si>
  <si>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</si>
  <si>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</si>
  <si>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</si>
  <si>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</si>
  <si>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</si>
  <si>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</si>
  <si>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</si>
  <si>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</si>
  <si>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</si>
  <si>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</si>
  <si>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</si>
  <si>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</si>
  <si>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</si>
  <si>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</si>
  <si>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</si>
  <si>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</si>
  <si>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</si>
  <si>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</si>
  <si>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</si>
  <si>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</si>
  <si>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</si>
  <si>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</si>
  <si>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</si>
  <si>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</si>
  <si>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</si>
  <si>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</si>
  <si>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</si>
  <si>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</si>
  <si>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</si>
  <si>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</si>
  <si>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</si>
  <si>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</si>
  <si>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</si>
  <si>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</si>
  <si>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</si>
  <si>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</si>
  <si>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</si>
  <si>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</si>
  <si>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</si>
  <si>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</si>
  <si>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</si>
  <si>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</si>
  <si>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</si>
  <si>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</si>
  <si>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</si>
  <si>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</si>
  <si>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</si>
  <si>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</si>
  <si>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</si>
  <si>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</si>
  <si>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</si>
  <si>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</si>
  <si>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</si>
  <si>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</si>
  <si>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</si>
  <si>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</si>
  <si>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</si>
  <si>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</si>
  <si>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</si>
  <si>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</si>
  <si>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</si>
  <si>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</si>
  <si>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</si>
  <si>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</si>
  <si>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</si>
  <si>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</si>
  <si>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</si>
  <si>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</si>
  <si>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</si>
  <si>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</si>
  <si>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</si>
  <si>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</si>
  <si>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</si>
  <si>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</si>
  <si>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</si>
  <si>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</si>
  <si>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</si>
  <si>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</si>
  <si>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</si>
  <si>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</si>
  <si>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</si>
  <si>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</si>
  <si>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</si>
  <si>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</si>
  <si>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</si>
  <si>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</si>
  <si>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</si>
  <si>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</si>
  <si>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</si>
  <si>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</si>
  <si>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</si>
  <si>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</si>
  <si>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</si>
  <si>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</si>
  <si>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</si>
  <si>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</si>
  <si>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</si>
  <si>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</si>
  <si>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</si>
  <si>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</si>
  <si>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</si>
  <si>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</si>
  <si>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</si>
  <si>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</si>
  <si>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</si>
  <si>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</si>
  <si>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</si>
  <si>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</si>
  <si>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</si>
  <si>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</si>
  <si>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</si>
  <si>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</si>
  <si>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</si>
  <si>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</si>
  <si>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</si>
  <si>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</si>
  <si>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</si>
  <si>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</si>
  <si>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</si>
  <si>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</si>
  <si>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</si>
  <si>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</si>
  <si>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</si>
  <si>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</si>
  <si>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</si>
  <si>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</si>
  <si>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</si>
  <si>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</si>
  <si>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</si>
  <si>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</si>
  <si>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</si>
  <si>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</si>
  <si>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</si>
  <si>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</si>
  <si>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</si>
  <si>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</si>
  <si>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</si>
  <si>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</si>
  <si>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</si>
  <si>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</si>
  <si>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</si>
  <si>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</si>
  <si>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</si>
  <si>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</si>
  <si>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</si>
  <si>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</si>
  <si>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</si>
  <si>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</si>
  <si>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</si>
  <si>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</si>
  <si>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</si>
  <si>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</si>
  <si>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</si>
  <si>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</si>
  <si>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</si>
  <si>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</si>
  <si>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</si>
  <si>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</si>
  <si>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</si>
  <si>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</si>
  <si>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</si>
  <si>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</si>
  <si>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</si>
  <si>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</si>
  <si>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</si>
  <si>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</si>
  <si>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</si>
  <si>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</si>
  <si>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</si>
  <si>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</si>
  <si>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</si>
  <si>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</si>
  <si>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</si>
  <si>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</si>
  <si>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</si>
  <si>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</si>
  <si>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</si>
  <si>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</si>
  <si>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</si>
  <si>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</si>
  <si>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</si>
  <si>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</si>
  <si>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</si>
  <si>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</si>
  <si>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</si>
  <si>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</si>
  <si>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</si>
  <si>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</si>
  <si>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</si>
  <si>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</si>
  <si>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</si>
  <si>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</si>
  <si>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</si>
  <si>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</si>
  <si>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</si>
  <si>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</si>
  <si>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</si>
  <si>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</si>
  <si>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</si>
  <si>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</si>
  <si>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</si>
  <si>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</si>
  <si>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</si>
  <si>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</si>
  <si>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</si>
  <si>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</si>
  <si>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</si>
  <si>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</si>
  <si>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</si>
  <si>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</si>
  <si>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</si>
  <si>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</si>
  <si>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</si>
  <si>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</si>
  <si>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</si>
  <si>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</si>
  <si>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</si>
  <si>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</si>
  <si>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</si>
  <si>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</si>
  <si>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</si>
  <si>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</si>
  <si>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</si>
  <si>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</si>
  <si>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</si>
  <si>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</si>
  <si>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</si>
  <si>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</si>
  <si>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</si>
  <si>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</si>
  <si>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</si>
  <si>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</si>
  <si>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</si>
  <si>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</si>
  <si>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</si>
  <si>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</si>
  <si>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</si>
  <si>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</si>
  <si>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</si>
  <si>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</si>
  <si>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</si>
  <si>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</si>
  <si>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</si>
  <si>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</si>
  <si>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</si>
  <si>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</si>
  <si>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</si>
  <si>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</si>
  <si>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</si>
  <si>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</si>
  <si>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</si>
  <si>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</si>
  <si>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</si>
  <si>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</si>
  <si>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</si>
  <si>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</si>
  <si>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</si>
  <si>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</si>
  <si>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</si>
  <si>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</si>
  <si>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</si>
  <si>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</si>
  <si>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</si>
  <si>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</si>
  <si>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</si>
  <si>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</si>
  <si>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</si>
  <si>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</si>
  <si>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</si>
  <si>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</si>
  <si>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</si>
  <si>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</si>
  <si>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</si>
  <si>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</si>
  <si>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</si>
  <si>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</si>
  <si>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</si>
  <si>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</si>
  <si>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</si>
  <si>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</si>
  <si>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</si>
  <si>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</si>
  <si>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</si>
  <si>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</si>
  <si>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</si>
  <si>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</si>
  <si>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</si>
  <si>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</si>
  <si>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</si>
  <si>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</si>
  <si>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</si>
  <si>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</si>
  <si>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</si>
  <si>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</si>
  <si>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</si>
  <si>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</si>
  <si>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</si>
  <si>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</si>
  <si>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</si>
  <si>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</si>
  <si>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</si>
  <si>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</si>
  <si>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</si>
  <si>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</si>
  <si>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</si>
  <si>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</si>
  <si>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</si>
  <si>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</si>
  <si>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</si>
  <si>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</si>
  <si>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</si>
  <si>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</si>
  <si>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</si>
  <si>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</si>
  <si>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</si>
  <si>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</si>
  <si>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</si>
  <si>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</si>
  <si>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</si>
  <si>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</si>
  <si>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</si>
  <si>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</si>
  <si>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</si>
  <si>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</si>
  <si>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</si>
  <si>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</si>
  <si>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</si>
  <si>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</si>
  <si>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</si>
  <si>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</si>
  <si>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</si>
  <si>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</si>
  <si>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</si>
  <si>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</si>
  <si>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</si>
  <si>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</si>
  <si>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</si>
  <si>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</si>
  <si>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</si>
  <si>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</si>
  <si>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</si>
  <si>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</si>
  <si>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</si>
  <si>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</si>
  <si>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</si>
  <si>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</si>
  <si>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</si>
  <si>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</si>
  <si>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</si>
  <si>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</si>
  <si>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</si>
  <si>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</si>
  <si>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</si>
  <si>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</si>
  <si>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</si>
  <si>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</si>
  <si>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</si>
  <si>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</si>
  <si>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</si>
  <si>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</si>
  <si>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</si>
  <si>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</si>
  <si>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</si>
  <si>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</si>
  <si>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</si>
  <si>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</si>
  <si>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</si>
  <si>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</si>
  <si>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</si>
  <si>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</si>
  <si>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</si>
  <si>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</si>
  <si>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</si>
  <si>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</si>
  <si>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</si>
  <si>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</si>
  <si>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</si>
  <si>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</si>
  <si>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</si>
  <si>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</si>
  <si>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</si>
  <si>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</si>
  <si>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</si>
  <si>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</si>
  <si>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</si>
  <si>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</si>
  <si>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</si>
  <si>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</si>
  <si>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</si>
  <si>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</si>
  <si>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</si>
  <si>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</si>
  <si>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</si>
  <si>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</si>
  <si>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</si>
  <si>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</si>
  <si>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</si>
  <si>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</si>
  <si>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</si>
  <si>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</si>
  <si>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</si>
  <si>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</si>
  <si>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</si>
  <si>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</si>
  <si>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</si>
  <si>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</si>
  <si>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</si>
  <si>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</si>
  <si>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</si>
  <si>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</si>
  <si>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</si>
  <si>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</si>
  <si>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</si>
  <si>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</si>
  <si>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</si>
  <si>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</si>
  <si>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</si>
  <si>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</si>
  <si>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</si>
  <si>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</si>
  <si>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</si>
  <si>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</si>
  <si>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</si>
  <si>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</si>
  <si>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</si>
  <si>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</si>
  <si>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</si>
  <si>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</si>
  <si>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</si>
  <si>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</si>
  <si>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</si>
  <si>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</si>
  <si>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</si>
  <si>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</si>
  <si>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</si>
  <si>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</si>
  <si>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</si>
  <si>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</si>
  <si>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</si>
  <si>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</si>
  <si>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</si>
  <si>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</si>
  <si>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</si>
  <si>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</si>
  <si>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</si>
  <si>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</si>
  <si>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</si>
  <si>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</si>
  <si>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</si>
  <si>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</si>
  <si>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</si>
  <si>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</si>
  <si>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</si>
  <si>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</si>
  <si>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</si>
  <si>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</si>
  <si>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</si>
  <si>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</si>
  <si>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</si>
  <si>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</si>
  <si>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</si>
  <si>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</si>
  <si>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</si>
  <si>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</si>
  <si>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</si>
  <si>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</si>
  <si>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</si>
  <si>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</si>
  <si>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</si>
  <si>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</si>
  <si>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</si>
  <si>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</si>
  <si>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</si>
  <si>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</si>
  <si>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</si>
  <si>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</si>
  <si>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</si>
  <si>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</si>
  <si>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</si>
  <si>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</si>
  <si>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</si>
  <si>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</si>
  <si>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</si>
  <si>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</si>
  <si>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</si>
  <si>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</si>
  <si>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</si>
  <si>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</si>
  <si>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</si>
  <si>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</si>
  <si>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</si>
  <si>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</si>
  <si>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</si>
  <si>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</si>
  <si>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</si>
  <si>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</si>
  <si>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</si>
  <si>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</si>
  <si>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</si>
  <si>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</si>
  <si>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</si>
  <si>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</si>
  <si>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</si>
  <si>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</si>
  <si>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</si>
  <si>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</si>
  <si>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</si>
  <si>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</si>
  <si>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</si>
  <si>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</si>
  <si>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</si>
  <si>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</si>
  <si>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</si>
  <si>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</si>
  <si>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</si>
  <si>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</si>
  <si>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</si>
  <si>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</si>
  <si>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</si>
  <si>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</si>
  <si>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</si>
  <si>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</si>
  <si>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</si>
  <si>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</si>
  <si>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</si>
  <si>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</si>
  <si>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</si>
  <si>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</si>
  <si>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</si>
  <si>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</si>
  <si>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</si>
  <si>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</si>
  <si>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</si>
  <si>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</si>
  <si>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</si>
  <si>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</si>
  <si>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</si>
  <si>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</si>
  <si>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</si>
  <si>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</si>
  <si>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</si>
  <si>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</si>
  <si>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</si>
  <si>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</si>
  <si>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</si>
  <si>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</si>
  <si>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</si>
  <si>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</si>
  <si>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</si>
  <si>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</si>
  <si>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</si>
  <si>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</si>
  <si>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</si>
  <si>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</si>
  <si>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</si>
  <si>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</si>
  <si>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</si>
  <si>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</si>
  <si>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</si>
  <si>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</si>
  <si>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</si>
  <si>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</si>
  <si>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</si>
  <si>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</si>
  <si>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</si>
  <si>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</si>
  <si>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</si>
  <si>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</si>
  <si>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</si>
  <si>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</si>
  <si>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</si>
  <si>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</si>
  <si>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</si>
  <si>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</si>
  <si>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</si>
  <si>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</si>
  <si>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</si>
  <si>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</si>
  <si>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</si>
  <si>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</si>
  <si>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</si>
  <si>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</si>
  <si>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</si>
  <si>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</si>
  <si>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</si>
  <si>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</si>
  <si>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</si>
  <si>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</si>
  <si>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</si>
  <si>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</si>
  <si>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</si>
  <si>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</si>
  <si>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</si>
  <si>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</si>
  <si>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</si>
  <si>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</si>
  <si>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</si>
  <si>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</si>
  <si>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</si>
  <si>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</si>
  <si>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</si>
  <si>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</si>
  <si>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</si>
  <si>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</si>
  <si>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</si>
  <si>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</si>
  <si>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</si>
  <si>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</si>
  <si>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</si>
  <si>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</si>
  <si>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</si>
  <si>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</si>
  <si>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</si>
  <si>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</si>
  <si>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</si>
  <si>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</si>
  <si>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</si>
  <si>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</si>
  <si>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</si>
  <si>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</si>
  <si>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</si>
  <si>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</si>
  <si>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</si>
  <si>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</si>
  <si>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</si>
  <si>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</si>
  <si>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</si>
  <si>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</si>
  <si>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</si>
  <si>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</si>
  <si>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</si>
  <si>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</si>
  <si>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</si>
  <si>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</si>
  <si>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</si>
  <si>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</si>
  <si>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</si>
  <si>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</si>
  <si>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</si>
  <si>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</si>
  <si>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</si>
  <si>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</si>
  <si>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</si>
  <si>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</si>
  <si>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</si>
  <si>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</si>
  <si>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</si>
  <si>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</si>
  <si>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</si>
  <si>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</si>
  <si>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</si>
  <si>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</si>
  <si>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</si>
  <si>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</si>
  <si>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</si>
  <si>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</si>
  <si>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</si>
  <si>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</si>
  <si>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</si>
  <si>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</si>
  <si>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</si>
  <si>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</si>
  <si>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</si>
  <si>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</si>
  <si>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</si>
  <si>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</si>
  <si>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</si>
  <si>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</si>
  <si>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</si>
  <si>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</si>
  <si>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</si>
  <si>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</si>
  <si>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</si>
  <si>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</si>
  <si>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</si>
  <si>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</si>
  <si>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</si>
  <si>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</si>
  <si>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</si>
  <si>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</si>
  <si>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</si>
  <si>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</si>
  <si>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</si>
  <si>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</si>
  <si>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</si>
  <si>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</si>
  <si>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</si>
  <si>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</si>
  <si>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</si>
  <si>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</si>
  <si>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</si>
  <si>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</si>
  <si>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</si>
  <si>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</si>
  <si>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</si>
  <si>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</si>
  <si>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</si>
  <si>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</si>
  <si>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</si>
  <si>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</si>
  <si>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</si>
  <si>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</si>
  <si>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</si>
  <si>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</si>
  <si>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</si>
  <si>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</si>
  <si>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</si>
  <si>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</si>
  <si>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</si>
  <si>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</si>
  <si>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</si>
  <si>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</si>
  <si>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</si>
  <si>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</si>
  <si>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</si>
  <si>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</si>
  <si>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</si>
  <si>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</si>
  <si>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</si>
  <si>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</si>
  <si>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</si>
  <si>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</si>
  <si>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</si>
  <si>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</si>
  <si>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</si>
  <si>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</si>
  <si>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</si>
  <si>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</si>
  <si>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</si>
  <si>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</si>
  <si>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</si>
  <si>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</si>
  <si>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</si>
  <si>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</si>
  <si>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</si>
  <si>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</si>
  <si>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</si>
  <si>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</si>
  <si>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</si>
  <si>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</si>
  <si>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</si>
  <si>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</si>
  <si>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</si>
  <si>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</si>
  <si>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</si>
  <si>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</si>
  <si>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</si>
  <si>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</si>
  <si>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</si>
  <si>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</si>
  <si>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</si>
  <si>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</si>
  <si>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</si>
  <si>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</si>
  <si>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</si>
  <si>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</si>
  <si>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</si>
  <si>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</si>
  <si>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</si>
  <si>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</si>
  <si>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</si>
  <si>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</si>
  <si>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</si>
  <si>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</si>
  <si>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</si>
  <si>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</si>
  <si>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</si>
  <si>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</si>
  <si>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</si>
  <si>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</si>
  <si>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</si>
  <si>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</si>
  <si>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</si>
  <si>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</si>
  <si>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</si>
  <si>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</si>
  <si>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</si>
  <si>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</si>
  <si>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</si>
  <si>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</si>
  <si>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</si>
  <si>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</si>
  <si>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</si>
  <si>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</si>
  <si>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</si>
  <si>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</si>
  <si>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</si>
  <si>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</si>
  <si>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</si>
  <si>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</si>
  <si>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</si>
  <si>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</si>
  <si>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</si>
  <si>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</si>
  <si>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</si>
  <si>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</si>
  <si>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</si>
  <si>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</si>
  <si>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</si>
  <si>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</si>
  <si>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</si>
  <si>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</si>
  <si>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</si>
  <si>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</si>
  <si>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</si>
  <si>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</si>
  <si>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</si>
  <si>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</si>
  <si>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</si>
  <si>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</si>
  <si>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</si>
  <si>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</si>
  <si>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</si>
  <si>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</si>
  <si>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</si>
  <si>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</si>
  <si>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</si>
  <si>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</si>
  <si>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</si>
  <si>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</si>
  <si>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</si>
  <si>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</si>
  <si>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</si>
  <si>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</si>
  <si>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</si>
  <si>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</si>
  <si>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</si>
  <si>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</si>
  <si>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</si>
  <si>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</si>
  <si>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</si>
  <si>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</si>
  <si>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</si>
  <si>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</si>
  <si>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</si>
  <si>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</si>
  <si>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</si>
  <si>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</si>
  <si>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</si>
  <si>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</si>
  <si>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</si>
  <si>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</si>
  <si>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</si>
  <si>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</si>
  <si>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</si>
  <si>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</si>
  <si>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</si>
  <si>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</si>
  <si>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</si>
  <si>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</si>
  <si>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</si>
  <si>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</si>
  <si>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</si>
  <si>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</si>
  <si>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</si>
  <si>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</si>
  <si>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</si>
  <si>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</si>
  <si>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</si>
  <si>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</si>
  <si>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</si>
  <si>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</si>
  <si>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</si>
  <si>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</si>
  <si>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</si>
  <si>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</si>
  <si>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</si>
  <si>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</si>
  <si>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</si>
  <si>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</si>
  <si>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</si>
  <si>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</si>
  <si>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</si>
  <si>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</si>
  <si>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</si>
  <si>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</si>
  <si>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</si>
  <si>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</si>
  <si>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</si>
  <si>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</si>
  <si>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</si>
  <si>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</si>
  <si>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</si>
  <si>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</si>
  <si>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</si>
  <si>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</si>
  <si>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</si>
  <si>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</si>
  <si>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</si>
  <si>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</si>
  <si>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</si>
  <si>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</si>
  <si>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</si>
  <si>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</si>
  <si>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</si>
  <si>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</si>
  <si>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</si>
  <si>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</si>
  <si>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</si>
  <si>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</si>
  <si>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</si>
  <si>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</si>
  <si>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</si>
  <si>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</si>
  <si>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</si>
  <si>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</si>
  <si>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</si>
  <si>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</si>
  <si>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</si>
  <si>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</si>
  <si>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</si>
  <si>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</si>
  <si>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</si>
  <si>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</si>
  <si>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</si>
  <si>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</si>
  <si>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</si>
  <si>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</si>
  <si>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</si>
  <si>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</si>
  <si>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</si>
  <si>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</si>
  <si>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</si>
  <si>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</si>
  <si>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</si>
  <si>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</si>
  <si>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</si>
  <si>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</si>
  <si>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</si>
  <si>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</si>
  <si>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</si>
  <si>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</si>
  <si>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</si>
  <si>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</si>
  <si>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</si>
  <si>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</si>
  <si>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</si>
  <si>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</si>
  <si>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</si>
  <si>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</si>
  <si>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</si>
  <si>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</si>
  <si>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</si>
  <si>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</si>
  <si>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</si>
  <si>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</si>
  <si>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</si>
  <si>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</si>
  <si>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</si>
  <si>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</si>
  <si>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</si>
  <si>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</si>
  <si>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</si>
  <si>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</si>
  <si>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</si>
  <si>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</si>
  <si>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</si>
  <si>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</si>
  <si>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</si>
  <si>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</si>
  <si>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</si>
  <si>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</si>
  <si>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</si>
  <si>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</si>
  <si>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</si>
  <si>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</si>
  <si>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</si>
  <si>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</si>
  <si>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</si>
  <si>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</si>
  <si>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</si>
  <si>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</si>
  <si>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</si>
  <si>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</si>
  <si>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</si>
  <si>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</si>
  <si>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</si>
  <si>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</si>
  <si>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</si>
  <si>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</si>
  <si>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</si>
  <si>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</si>
  <si>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</si>
  <si>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</si>
  <si>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</si>
  <si>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</si>
  <si>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</si>
  <si>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</si>
  <si>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</si>
  <si>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</si>
  <si>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</si>
  <si>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</si>
  <si>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</si>
  <si>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</si>
  <si>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</si>
  <si>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</si>
  <si>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</si>
  <si>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</si>
  <si>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</si>
  <si>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</si>
  <si>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</si>
  <si>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</si>
  <si>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</si>
  <si>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</si>
  <si>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</si>
  <si>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</si>
  <si>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</si>
  <si>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</si>
  <si>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</si>
  <si>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</si>
  <si>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</si>
  <si>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</si>
  <si>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</si>
  <si>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</si>
  <si>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</si>
  <si>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</si>
  <si>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</si>
  <si>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</si>
  <si>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</si>
  <si>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</si>
  <si>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</si>
  <si>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</si>
  <si>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</si>
  <si>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</si>
  <si>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</si>
  <si>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</si>
  <si>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</si>
  <si>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</si>
  <si>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</si>
  <si>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</si>
  <si>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</si>
  <si>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</si>
  <si>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</si>
  <si>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</si>
  <si>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</si>
  <si>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</si>
  <si>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</si>
  <si>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</si>
  <si>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</si>
  <si>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</si>
  <si>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</si>
  <si>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</si>
  <si>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</si>
  <si>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</si>
  <si>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</si>
  <si>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</si>
  <si>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</si>
  <si>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</si>
  <si>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</si>
  <si>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</si>
  <si>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</si>
  <si>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</si>
  <si>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</si>
  <si>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</si>
  <si>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</si>
  <si>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</si>
  <si>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</si>
  <si>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</si>
  <si>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</si>
  <si>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</si>
  <si>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</si>
  <si>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</si>
  <si>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</si>
  <si>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</si>
  <si>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</si>
  <si>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</si>
  <si>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</si>
  <si>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</si>
  <si>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</si>
  <si>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</si>
  <si>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</si>
  <si>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</si>
  <si>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</si>
  <si>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</si>
  <si>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</si>
  <si>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</si>
  <si>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</si>
  <si>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</si>
  <si>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</si>
  <si>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</si>
  <si>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</si>
  <si>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</si>
  <si>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</si>
  <si>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</si>
  <si>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</si>
  <si>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</si>
  <si>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</si>
  <si>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</si>
  <si>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</si>
  <si>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</si>
  <si>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</si>
  <si>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</si>
  <si>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</si>
  <si>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</si>
  <si>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</si>
  <si>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</si>
  <si>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</si>
  <si>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</si>
  <si>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</si>
  <si>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</si>
  <si>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</si>
  <si>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</si>
  <si>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</si>
  <si>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</si>
  <si>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</si>
  <si>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</si>
  <si>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</si>
  <si>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</si>
  <si>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</si>
  <si>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</si>
  <si>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</si>
  <si>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</si>
  <si>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</si>
  <si>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</si>
  <si>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</si>
  <si>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</si>
  <si>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</si>
  <si>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</si>
  <si>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</si>
  <si>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</si>
  <si>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</si>
  <si>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</si>
  <si>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</si>
  <si>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</si>
  <si>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</si>
  <si>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</si>
  <si>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</si>
  <si>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</si>
  <si>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</si>
  <si>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</si>
  <si>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</si>
  <si>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</si>
  <si>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</si>
  <si>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</si>
  <si>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</si>
  <si>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</si>
  <si>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</si>
  <si>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</si>
  <si>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</si>
  <si>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</si>
  <si>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</si>
  <si>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</si>
  <si>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</si>
  <si>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</si>
  <si>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</si>
  <si>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</si>
  <si>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</si>
  <si>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</si>
  <si>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</si>
  <si>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</si>
  <si>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</si>
  <si>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</si>
  <si>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</si>
  <si>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</si>
  <si>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</si>
  <si>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</si>
  <si>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</si>
  <si>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</si>
  <si>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</si>
  <si>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</si>
  <si>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</si>
  <si>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</si>
  <si>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</si>
  <si>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</si>
  <si>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</si>
  <si>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</si>
  <si>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</si>
  <si>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</si>
  <si>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</si>
  <si>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</si>
  <si>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</si>
  <si>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</si>
  <si>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</si>
  <si>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</si>
  <si>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</si>
  <si>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</si>
  <si>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</si>
  <si>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</si>
  <si>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</si>
  <si>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</si>
  <si>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</si>
  <si>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</si>
  <si>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</si>
  <si>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</si>
  <si>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</si>
  <si>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</si>
  <si>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</si>
  <si>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</si>
  <si>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</si>
  <si>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</si>
  <si>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</si>
  <si>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</si>
  <si>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</si>
  <si>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</si>
  <si>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</si>
  <si>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</si>
  <si>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</si>
  <si>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</si>
  <si>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</si>
  <si>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</si>
  <si>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</si>
  <si>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</si>
  <si>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</si>
  <si>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</si>
  <si>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</si>
  <si>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</si>
  <si>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</si>
  <si>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</si>
  <si>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</si>
  <si>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</si>
  <si>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</si>
  <si>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</si>
  <si>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</si>
  <si>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</si>
  <si>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</si>
  <si>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</si>
  <si>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</si>
  <si>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</si>
  <si>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</si>
  <si>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</si>
  <si>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</si>
  <si>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</si>
  <si>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</si>
  <si>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</si>
  <si>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</si>
  <si>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</si>
  <si>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</si>
  <si>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</si>
  <si>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</si>
  <si>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</si>
  <si>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</si>
  <si>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</si>
  <si>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</si>
  <si>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</si>
  <si>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</si>
  <si>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</si>
  <si>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</si>
  <si>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</si>
  <si>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</si>
  <si>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</si>
  <si>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</si>
  <si>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</si>
  <si>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</si>
  <si>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</si>
  <si>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</si>
  <si>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</si>
  <si>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</si>
  <si>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</si>
  <si>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</si>
  <si>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</si>
  <si>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</si>
  <si>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</si>
  <si>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</si>
  <si>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</si>
  <si>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</si>
  <si>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</si>
  <si>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</si>
  <si>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</si>
  <si>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</si>
  <si>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</si>
  <si>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</si>
  <si>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</si>
  <si>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</si>
  <si>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</si>
  <si>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</si>
  <si>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</si>
  <si>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</si>
  <si>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</si>
  <si>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</si>
  <si>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</si>
  <si>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</si>
  <si>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</si>
  <si>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</si>
  <si>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</si>
  <si>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</si>
  <si>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</si>
  <si>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</si>
  <si>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</si>
  <si>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</si>
  <si>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</si>
  <si>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</si>
  <si>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</si>
  <si>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</si>
  <si>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</si>
  <si>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</si>
  <si>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</si>
  <si>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</si>
  <si>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</si>
  <si>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</si>
  <si>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</si>
  <si>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</si>
  <si>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</si>
  <si>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</si>
  <si>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</si>
  <si>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</si>
  <si>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</si>
  <si>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</si>
  <si>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</si>
  <si>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</si>
  <si>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</si>
  <si>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</si>
  <si>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</si>
  <si>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</si>
  <si>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</si>
  <si>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</si>
  <si>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</si>
  <si>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</si>
  <si>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</si>
  <si>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</si>
  <si>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</si>
  <si>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</si>
  <si>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</si>
  <si>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</si>
  <si>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</si>
  <si>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</si>
  <si>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</si>
  <si>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</si>
  <si>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</si>
  <si>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</si>
  <si>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</si>
  <si>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</si>
  <si>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</si>
  <si>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</si>
  <si>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</si>
  <si>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</si>
  <si>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</si>
  <si>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</si>
  <si>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</si>
  <si>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</si>
  <si>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</si>
  <si>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</si>
  <si>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</si>
  <si>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</si>
  <si>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</si>
  <si>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</si>
  <si>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</si>
  <si>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</si>
  <si>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</si>
  <si>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</si>
  <si>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</si>
  <si>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</si>
  <si>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</si>
  <si>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</si>
  <si>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</si>
  <si>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</si>
  <si>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</si>
  <si>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</si>
  <si>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</si>
  <si>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</si>
  <si>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</si>
  <si>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</si>
  <si>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</si>
  <si>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</si>
  <si>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</si>
  <si>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</si>
  <si>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</si>
  <si>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</si>
  <si>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</si>
  <si>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</si>
  <si>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</si>
  <si>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</si>
  <si>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</si>
  <si>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</si>
  <si>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</si>
  <si>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</si>
  <si>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</si>
  <si>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</si>
  <si>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</si>
  <si>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</si>
  <si>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</si>
  <si>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</si>
  <si>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</si>
  <si>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</si>
  <si>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</si>
  <si>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</si>
  <si>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</si>
  <si>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</si>
  <si>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</si>
  <si>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</si>
  <si>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</si>
  <si>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</si>
  <si>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</si>
  <si>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</si>
  <si>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</si>
  <si>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</si>
  <si>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</si>
  <si>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</si>
  <si>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</si>
  <si>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</si>
  <si>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</si>
  <si>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</si>
  <si>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</si>
  <si>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</si>
  <si>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</si>
  <si>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</si>
  <si>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</si>
  <si>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</si>
  <si>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</si>
  <si>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</si>
  <si>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</si>
  <si>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</si>
  <si>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</si>
  <si>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</si>
  <si>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</si>
  <si>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</si>
  <si>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</si>
  <si>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</si>
  <si>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</si>
  <si>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</si>
  <si>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</si>
  <si>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</si>
  <si>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</si>
  <si>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</si>
  <si>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</si>
  <si>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</si>
  <si>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</si>
  <si>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</si>
  <si>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</si>
  <si>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</si>
  <si>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</si>
  <si>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</si>
  <si>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</si>
  <si>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</si>
  <si>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</si>
  <si>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</si>
  <si>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</si>
  <si>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</si>
  <si>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</si>
  <si>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</si>
  <si>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</si>
  <si>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</si>
  <si>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</si>
  <si>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</si>
  <si>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</si>
  <si>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</si>
  <si>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</si>
  <si>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</si>
  <si>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</si>
  <si>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</si>
  <si>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</si>
  <si>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</si>
  <si>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</si>
  <si>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</si>
  <si>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</si>
  <si>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</si>
  <si>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</si>
  <si>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</si>
  <si>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</si>
  <si>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</si>
  <si>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</si>
  <si>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</si>
  <si>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</si>
  <si>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</si>
  <si>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</si>
  <si>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</si>
  <si>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</si>
  <si>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</si>
  <si>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</si>
  <si>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</si>
  <si>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</si>
  <si>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</si>
  <si>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</si>
  <si>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</si>
  <si>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</si>
  <si>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</si>
  <si>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</si>
  <si>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</si>
  <si>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</si>
  <si>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</si>
  <si>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</si>
  <si>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</si>
  <si>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</si>
  <si>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</si>
  <si>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</si>
  <si>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</si>
  <si>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</si>
  <si>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</si>
  <si>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</si>
  <si>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</si>
  <si>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</si>
  <si>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</si>
  <si>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</si>
  <si>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</si>
  <si>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</si>
  <si>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</si>
  <si>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</si>
  <si>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</si>
  <si>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</si>
  <si>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</si>
  <si>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</si>
  <si>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</si>
  <si>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</si>
  <si>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</si>
  <si>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</si>
  <si>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</si>
  <si>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</si>
  <si>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</si>
  <si>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</si>
  <si>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</si>
  <si>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</si>
  <si>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</si>
  <si>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</si>
  <si>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</si>
  <si>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</si>
  <si>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</si>
  <si>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</si>
  <si>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</si>
  <si>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</si>
  <si>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</si>
  <si>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</si>
  <si>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</si>
  <si>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</si>
  <si>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</si>
  <si>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</si>
  <si>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</si>
  <si>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</si>
  <si>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</si>
  <si>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</si>
  <si>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</si>
  <si>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</si>
  <si>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</si>
  <si>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</si>
  <si>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</si>
  <si>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</si>
  <si>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</si>
  <si>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</si>
  <si>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</si>
  <si>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</si>
  <si>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</si>
  <si>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</si>
  <si>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</si>
  <si>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</si>
  <si>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</si>
  <si>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</si>
  <si>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</si>
  <si>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</si>
  <si>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</si>
  <si>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</si>
  <si>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</si>
  <si>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</si>
  <si>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</si>
  <si>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</si>
  <si>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</si>
  <si>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</si>
  <si>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</si>
  <si>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</si>
  <si>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</si>
  <si>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</si>
  <si>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</si>
  <si>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</si>
  <si>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</si>
  <si>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</si>
  <si>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</si>
  <si>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</si>
  <si>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</si>
  <si>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</si>
  <si>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</si>
  <si>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</si>
  <si>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</si>
  <si>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</si>
  <si>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</si>
  <si>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</si>
  <si>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</si>
  <si>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</si>
  <si>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</si>
  <si>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</si>
  <si>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</si>
  <si>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</si>
  <si>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</si>
  <si>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</si>
  <si>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</si>
  <si>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</si>
  <si>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</si>
  <si>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</si>
  <si>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</si>
  <si>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</si>
  <si>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</si>
  <si>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</si>
  <si>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</si>
  <si>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</si>
  <si>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</si>
  <si>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</si>
  <si>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</si>
  <si>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</si>
  <si>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</si>
  <si>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</si>
  <si>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</si>
  <si>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</si>
  <si>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</si>
  <si>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</si>
  <si>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</si>
  <si>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</si>
  <si>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</si>
  <si>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</si>
  <si>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</si>
  <si>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</si>
  <si>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</si>
  <si>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</si>
  <si>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</si>
  <si>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</si>
  <si>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</si>
  <si>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</si>
  <si>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</si>
  <si>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</si>
  <si>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</si>
  <si>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</si>
  <si>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</si>
  <si>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</si>
  <si>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</si>
  <si>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</si>
  <si>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</si>
  <si>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</si>
  <si>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</si>
  <si>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</si>
  <si>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</si>
  <si>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</si>
  <si>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</si>
  <si>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</si>
  <si>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</si>
  <si>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</si>
  <si>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</si>
  <si>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</si>
  <si>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</si>
  <si>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</si>
  <si>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</si>
  <si>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</si>
  <si>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</si>
  <si>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</si>
  <si>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</si>
  <si>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</si>
  <si>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</si>
  <si>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</si>
  <si>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</si>
  <si>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</si>
  <si>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</si>
  <si>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</si>
  <si>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</si>
  <si>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</si>
  <si>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</si>
  <si>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</si>
  <si>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</si>
  <si>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</si>
  <si>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</si>
  <si>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</si>
  <si>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</si>
  <si>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</si>
  <si>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</si>
  <si>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</si>
  <si>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</si>
  <si>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</si>
  <si>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</si>
  <si>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</si>
  <si>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</si>
  <si>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</si>
  <si>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</si>
  <si>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</si>
  <si>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</si>
  <si>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</si>
  <si>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</si>
  <si>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</si>
  <si>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</si>
  <si>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</si>
  <si>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</si>
  <si>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</si>
  <si>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</si>
  <si>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</si>
  <si>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</si>
  <si>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</si>
  <si>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</si>
  <si>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</si>
  <si>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</si>
  <si>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</si>
  <si>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</si>
  <si>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</si>
  <si>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</si>
  <si>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</si>
  <si>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</si>
  <si>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</si>
  <si>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</si>
  <si>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</si>
  <si>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</si>
  <si>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</si>
  <si>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</si>
  <si>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</si>
  <si>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</si>
  <si>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</si>
  <si>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</si>
  <si>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</si>
  <si>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</si>
  <si>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</si>
  <si>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</si>
  <si>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</si>
  <si>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</si>
  <si>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</si>
  <si>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</si>
  <si>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</si>
  <si>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</si>
  <si>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</si>
  <si>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</si>
  <si>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</si>
  <si>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</si>
  <si>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</si>
  <si>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</si>
  <si>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</si>
  <si>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</si>
  <si>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</si>
  <si>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</si>
  <si>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</si>
  <si>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</si>
  <si>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</si>
  <si>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</si>
  <si>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</si>
  <si>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</si>
  <si>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</si>
  <si>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</si>
  <si>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</si>
  <si>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</si>
  <si>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</si>
  <si>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</si>
  <si>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</si>
  <si>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</si>
  <si>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</si>
  <si>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</si>
  <si>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</si>
  <si>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</si>
  <si>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</si>
  <si>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</si>
  <si>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</si>
  <si>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</si>
  <si>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</si>
  <si>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</si>
  <si>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</si>
  <si>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</si>
  <si>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</si>
  <si>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</si>
  <si>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</si>
  <si>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</si>
  <si>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</si>
  <si>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</si>
  <si>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</si>
  <si>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</si>
  <si>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</si>
  <si>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</si>
  <si>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</si>
  <si>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</si>
  <si>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</si>
  <si>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</si>
  <si>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</si>
  <si>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</si>
  <si>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</si>
  <si>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</si>
  <si>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</si>
  <si>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</si>
  <si>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</si>
  <si>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</si>
  <si>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</si>
  <si>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</si>
  <si>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</si>
  <si>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</si>
  <si>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</si>
  <si>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</si>
  <si>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</si>
  <si>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</si>
  <si>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</si>
  <si>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</si>
  <si>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</si>
  <si>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</si>
  <si>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</si>
  <si>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</si>
  <si>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</si>
  <si>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</si>
  <si>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</si>
  <si>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</si>
  <si>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</si>
  <si>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</si>
  <si>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</si>
  <si>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</si>
  <si>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</si>
  <si>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</si>
  <si>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</si>
  <si>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</si>
  <si>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</si>
  <si>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</si>
  <si>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</si>
  <si>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</si>
  <si>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</si>
  <si>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</si>
  <si>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</si>
  <si>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</si>
  <si>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</si>
  <si>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</si>
  <si>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</si>
  <si>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</si>
  <si>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</si>
  <si>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</si>
  <si>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</si>
  <si>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</si>
  <si>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</si>
  <si>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</si>
  <si>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</si>
  <si>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</si>
  <si>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</si>
  <si>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</si>
  <si>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</si>
  <si>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</si>
  <si>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</si>
  <si>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</si>
  <si>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</si>
  <si>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</si>
  <si>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</si>
  <si>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</si>
  <si>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</si>
  <si>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</si>
  <si>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</si>
  <si>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</si>
  <si>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</si>
  <si>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</si>
  <si>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</si>
  <si>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</si>
  <si>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</si>
  <si>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</si>
  <si>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</si>
  <si>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</si>
  <si>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</si>
  <si>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</si>
  <si>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</si>
  <si>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</si>
  <si>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</si>
  <si>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</si>
  <si>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</si>
  <si>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</si>
  <si>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</si>
  <si>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</si>
  <si>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</si>
  <si>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</si>
  <si>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</si>
  <si>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</si>
  <si>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</si>
  <si>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</si>
  <si>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</si>
  <si>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</si>
  <si>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</si>
  <si>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</si>
  <si>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</si>
  <si>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</si>
  <si>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</si>
  <si>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</si>
  <si>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</si>
  <si>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</si>
  <si>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</si>
  <si>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</si>
  <si>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</si>
  <si>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</si>
  <si>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</si>
  <si>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</si>
  <si>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</si>
  <si>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</si>
  <si>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</si>
  <si>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</si>
  <si>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</si>
  <si>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</si>
  <si>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</si>
  <si>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</si>
  <si>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</si>
  <si>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</si>
  <si>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</si>
  <si>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</si>
  <si>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</si>
  <si>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</si>
  <si>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</si>
  <si>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</si>
  <si>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</si>
  <si>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</si>
  <si>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</si>
  <si>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</si>
  <si>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</si>
  <si>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</si>
  <si>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</si>
  <si>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</si>
  <si>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</si>
  <si>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</si>
  <si>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</si>
  <si>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</si>
  <si>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</si>
  <si>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</si>
  <si>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</si>
  <si>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</si>
  <si>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</si>
  <si>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</si>
  <si>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</si>
  <si>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</si>
  <si>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</si>
  <si>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</si>
  <si>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</si>
  <si>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</si>
  <si>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</si>
  <si>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</si>
  <si>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</si>
  <si>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</si>
  <si>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</si>
  <si>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</si>
  <si>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</si>
  <si>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</si>
  <si>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</si>
  <si>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</si>
  <si>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</si>
  <si>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</si>
  <si>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</si>
  <si>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</si>
  <si>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</si>
  <si>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</si>
  <si>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</si>
  <si>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</si>
  <si>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</si>
  <si>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</si>
  <si>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</si>
  <si>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</si>
  <si>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</si>
  <si>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</si>
  <si>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</si>
  <si>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</si>
  <si>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</si>
  <si>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</si>
  <si>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</si>
  <si>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</si>
  <si>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</si>
  <si>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</si>
  <si>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</si>
  <si>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</si>
  <si>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</si>
  <si>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</si>
  <si>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</si>
  <si>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</si>
  <si>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</si>
  <si>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</si>
  <si>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</si>
  <si>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</si>
  <si>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</si>
  <si>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</si>
  <si>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</si>
  <si>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</si>
  <si>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</si>
  <si>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</si>
  <si>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</si>
  <si>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</si>
  <si>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</si>
  <si>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</si>
  <si>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</si>
  <si>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</si>
  <si>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</si>
  <si>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</si>
  <si>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</si>
  <si>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</si>
  <si>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</si>
  <si>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</si>
  <si>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</si>
  <si>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</si>
  <si>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</si>
  <si>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</si>
  <si>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</si>
  <si>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</si>
  <si>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</si>
  <si>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</si>
  <si>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</si>
  <si>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</si>
  <si>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</si>
  <si>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</si>
  <si>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</si>
  <si>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</si>
  <si>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</si>
  <si>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</si>
  <si>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</si>
  <si>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</si>
  <si>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</si>
  <si>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</si>
  <si>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</si>
  <si>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</si>
  <si>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</si>
  <si>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</si>
  <si>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</si>
  <si>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</si>
  <si>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</si>
  <si>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</si>
  <si>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</si>
  <si>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</si>
  <si>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</si>
  <si>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</si>
  <si>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</si>
  <si>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</si>
  <si>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</si>
  <si>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</si>
  <si>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</si>
  <si>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</si>
  <si>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</si>
  <si>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</si>
  <si>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</si>
  <si>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</si>
  <si>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</si>
  <si>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</si>
  <si>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</si>
  <si>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</si>
  <si>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</si>
  <si>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</si>
  <si>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</si>
  <si>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</si>
  <si>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</si>
  <si>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</si>
  <si>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</si>
  <si>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</si>
  <si>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</si>
  <si>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</si>
  <si>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</si>
  <si>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</si>
  <si>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</si>
  <si>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</si>
  <si>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</si>
  <si>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</si>
  <si>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</si>
  <si>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</si>
  <si>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</si>
  <si>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</si>
  <si>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</si>
  <si>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</si>
  <si>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</si>
  <si>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</si>
  <si>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</si>
  <si>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</si>
  <si>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</si>
  <si>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</si>
  <si>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</si>
  <si>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</si>
  <si>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</si>
  <si>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</si>
  <si>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</si>
  <si>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</si>
  <si>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</si>
  <si>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</si>
  <si>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</si>
  <si>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</si>
  <si>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</si>
  <si>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</si>
  <si>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</si>
  <si>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</si>
  <si>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</si>
  <si>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</si>
  <si>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</si>
  <si>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</si>
  <si>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</si>
  <si>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</si>
  <si>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</si>
  <si>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</si>
  <si>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</si>
  <si>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</si>
  <si>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</si>
  <si>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</si>
  <si>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</si>
  <si>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</si>
  <si>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</si>
  <si>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</si>
  <si>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</si>
  <si>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</si>
  <si>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</si>
  <si>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</si>
  <si>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</si>
  <si>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</si>
  <si>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</si>
  <si>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</si>
  <si>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</si>
  <si>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</si>
  <si>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</si>
  <si>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</si>
  <si>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</si>
  <si>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</si>
  <si>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</si>
  <si>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</si>
  <si>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</si>
  <si>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</si>
  <si>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</si>
  <si>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</si>
  <si>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</si>
  <si>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</si>
  <si>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</si>
  <si>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</si>
  <si>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</si>
  <si>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</si>
  <si>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</si>
  <si>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</si>
  <si>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</si>
  <si>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</si>
  <si>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</si>
  <si>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</si>
  <si>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</si>
  <si>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</si>
  <si>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</si>
  <si>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</si>
  <si>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</si>
  <si>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</si>
  <si>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</si>
  <si>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</si>
  <si>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</si>
  <si>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</si>
  <si>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</si>
  <si>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</si>
  <si>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</si>
  <si>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</si>
  <si>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</si>
  <si>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</si>
  <si>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</si>
  <si>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</si>
  <si>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</si>
  <si>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</si>
  <si>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</si>
  <si>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</si>
  <si>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</si>
  <si>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</si>
  <si>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</si>
  <si>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</si>
  <si>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</si>
  <si>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</si>
  <si>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</si>
  <si>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</si>
  <si>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</si>
  <si>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</si>
  <si>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</si>
  <si>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</si>
  <si>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</si>
  <si>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</si>
  <si>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</si>
  <si>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</si>
  <si>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</si>
  <si>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</si>
  <si>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</si>
  <si>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</si>
  <si>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</si>
  <si>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</si>
  <si>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</si>
  <si>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</si>
  <si>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</si>
  <si>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</si>
  <si>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</si>
  <si>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</si>
  <si>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</si>
  <si>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</si>
  <si>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</si>
  <si>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</si>
  <si>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</si>
  <si>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</si>
  <si>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</si>
  <si>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</si>
  <si>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</si>
  <si>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</si>
  <si>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</si>
  <si>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</si>
  <si>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</si>
  <si>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</si>
  <si>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</si>
  <si>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</si>
  <si>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</si>
  <si>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</si>
  <si>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</si>
  <si>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</si>
  <si>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</si>
  <si>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</si>
  <si>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</si>
  <si>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</si>
  <si>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</si>
  <si>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</si>
  <si>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</si>
  <si>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</si>
  <si>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</si>
  <si>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</si>
  <si>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</si>
  <si>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</si>
  <si>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</si>
  <si>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</si>
  <si>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</si>
  <si>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</si>
  <si>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</si>
  <si>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</si>
  <si>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</si>
  <si>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</si>
  <si>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</si>
  <si>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</si>
  <si>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</si>
  <si>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</si>
  <si>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</si>
  <si>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</si>
  <si>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</si>
  <si>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</si>
  <si>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</si>
  <si>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</si>
  <si>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</si>
  <si>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</si>
  <si>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</si>
  <si>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</si>
  <si>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</si>
  <si>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</si>
  <si>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</si>
  <si>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</si>
  <si>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</si>
  <si>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</si>
  <si>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</si>
  <si>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</si>
  <si>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</si>
  <si>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</si>
  <si>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</si>
  <si>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</si>
  <si>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</si>
  <si>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</si>
  <si>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</si>
  <si>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</si>
  <si>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</si>
  <si>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</si>
  <si>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</si>
  <si>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</si>
  <si>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</si>
  <si>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</si>
  <si>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</si>
  <si>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</si>
  <si>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</si>
  <si>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</si>
  <si>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</si>
  <si>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</si>
  <si>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</si>
  <si>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</si>
  <si>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</si>
  <si>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</si>
  <si>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</si>
  <si>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</si>
  <si>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</si>
  <si>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</si>
  <si>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</si>
  <si>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</si>
  <si>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</si>
  <si>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</si>
  <si>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</si>
  <si>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</si>
  <si>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</si>
  <si>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</si>
  <si>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</si>
  <si>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</si>
  <si>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</si>
  <si>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</si>
  <si>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</si>
  <si>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</si>
  <si>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</si>
  <si>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</si>
  <si>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</si>
  <si>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</si>
  <si>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</si>
  <si>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</si>
  <si>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</si>
  <si>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</si>
  <si>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</si>
  <si>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</si>
  <si>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</si>
  <si>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</si>
  <si>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</si>
  <si>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</si>
  <si>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</si>
  <si>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</si>
  <si>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</si>
  <si>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</si>
  <si>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</si>
  <si>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</si>
  <si>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</si>
  <si>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</si>
  <si>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</si>
  <si>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</si>
  <si>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</si>
  <si>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</si>
  <si>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</si>
  <si>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</si>
  <si>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</si>
  <si>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</si>
  <si>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</si>
  <si>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</si>
  <si>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</si>
  <si>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</si>
  <si>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</si>
  <si>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</si>
  <si>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</si>
  <si>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</si>
  <si>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</si>
  <si>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</si>
  <si>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</si>
  <si>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</si>
  <si>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</si>
  <si>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</si>
  <si>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</si>
  <si>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</si>
  <si>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</si>
  <si>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</si>
  <si>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</si>
  <si>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</si>
  <si>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</si>
  <si>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</si>
  <si>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</si>
  <si>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</si>
  <si>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</si>
  <si>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</si>
  <si>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</si>
  <si>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</si>
  <si>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</si>
  <si>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</si>
  <si>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</si>
  <si>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</si>
  <si>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</si>
  <si>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</si>
  <si>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</si>
  <si>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</si>
  <si>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</si>
  <si>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</si>
  <si>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</si>
  <si>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</si>
  <si>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</si>
  <si>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</si>
  <si>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</si>
  <si>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</si>
  <si>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</si>
  <si>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</si>
  <si>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</si>
  <si>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</si>
  <si>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</si>
  <si>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</si>
  <si>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</si>
  <si>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</si>
  <si>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</si>
  <si>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</si>
  <si>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</si>
  <si>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</si>
  <si>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</si>
  <si>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</si>
  <si>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</si>
  <si>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</si>
  <si>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</si>
  <si>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</si>
  <si>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</si>
  <si>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</si>
  <si>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</si>
  <si>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</si>
  <si>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</si>
  <si>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</si>
  <si>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</si>
  <si>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</si>
  <si>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</si>
  <si>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</si>
  <si>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</si>
  <si>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</si>
  <si>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</si>
  <si>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</si>
  <si>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</si>
  <si>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</si>
  <si>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</si>
  <si>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</si>
  <si>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</si>
  <si>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</si>
  <si>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</si>
  <si>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</si>
  <si>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</si>
  <si>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</si>
  <si>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</si>
  <si>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</si>
  <si>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</si>
  <si>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</si>
  <si>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</si>
  <si>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</si>
  <si>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</si>
  <si>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</si>
  <si>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</si>
  <si>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</si>
  <si>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</si>
  <si>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</si>
  <si>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</si>
  <si>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</si>
  <si>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</si>
  <si>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</si>
  <si>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</si>
  <si>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</si>
  <si>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</si>
  <si>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</si>
  <si>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</si>
  <si>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</si>
  <si>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</si>
  <si>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</si>
  <si>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</si>
  <si>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</si>
  <si>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</si>
  <si>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</si>
  <si>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</si>
  <si>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</si>
  <si>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</si>
  <si>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</si>
  <si>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</si>
  <si>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</si>
  <si>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</si>
  <si>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</si>
  <si>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</si>
  <si>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</si>
  <si>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</si>
  <si>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</si>
  <si>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</si>
  <si>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</si>
  <si>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</si>
  <si>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</si>
  <si>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</si>
  <si>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</si>
  <si>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</si>
  <si>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</si>
  <si>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</si>
  <si>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</si>
  <si>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</si>
  <si>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</si>
  <si>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</si>
  <si>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</si>
  <si>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</si>
  <si>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</si>
  <si>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</si>
  <si>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</si>
  <si>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</si>
  <si>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</si>
  <si>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</si>
  <si>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</si>
  <si>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</si>
  <si>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</si>
  <si>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</si>
  <si>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</si>
  <si>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</si>
  <si>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</si>
  <si>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</si>
  <si>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</si>
  <si>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</si>
  <si>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</si>
  <si>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</si>
  <si>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</si>
  <si>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</si>
  <si>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</si>
  <si>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</si>
  <si>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</si>
  <si>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</si>
  <si>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</si>
  <si>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</si>
  <si>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</si>
  <si>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</si>
  <si>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</si>
  <si>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</si>
  <si>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</si>
  <si>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</si>
  <si>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</si>
  <si>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</si>
  <si>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</si>
  <si>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</si>
  <si>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</si>
  <si>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</si>
  <si>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</si>
  <si>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</si>
  <si>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</si>
  <si>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</si>
  <si>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</si>
  <si>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</si>
  <si>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</si>
  <si>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</si>
  <si>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</si>
  <si>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</si>
  <si>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</si>
  <si>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</si>
  <si>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</si>
  <si>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</si>
  <si>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</si>
  <si>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</si>
  <si>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</si>
  <si>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</si>
  <si>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</si>
  <si>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</si>
  <si>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</si>
  <si>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</si>
  <si>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</si>
  <si>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</si>
  <si>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</si>
  <si>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</si>
  <si>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</si>
  <si>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</si>
  <si>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</si>
  <si>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</si>
  <si>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</si>
  <si>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</si>
  <si>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</si>
  <si>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</si>
  <si>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</si>
  <si>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</si>
  <si>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</si>
  <si>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</si>
  <si>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</si>
  <si>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</si>
  <si>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</si>
  <si>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</si>
  <si>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</si>
  <si>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</si>
  <si>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</si>
  <si>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</si>
  <si>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</si>
  <si>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</si>
  <si>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</si>
  <si>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</si>
  <si>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</si>
  <si>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</si>
  <si>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</si>
  <si>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</si>
  <si>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</si>
  <si>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</si>
  <si>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</si>
  <si>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</si>
  <si>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</si>
  <si>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</si>
  <si>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</si>
  <si>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</si>
  <si>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</si>
  <si>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</si>
  <si>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</si>
  <si>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</si>
  <si>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</si>
  <si>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</si>
  <si>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</si>
  <si>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</si>
  <si>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</si>
  <si>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</si>
  <si>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</si>
  <si>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</si>
  <si>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</si>
  <si>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</si>
  <si>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</si>
  <si>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</si>
  <si>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</si>
  <si>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</si>
  <si>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</si>
  <si>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</si>
  <si>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</si>
  <si>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</si>
  <si>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</si>
  <si>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</si>
  <si>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</si>
  <si>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</si>
  <si>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</si>
  <si>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</si>
  <si>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</si>
  <si>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</si>
  <si>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</si>
  <si>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</si>
  <si>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</si>
  <si>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</si>
  <si>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</si>
  <si>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</si>
  <si>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</si>
  <si>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</si>
  <si>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</si>
  <si>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</si>
  <si>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</si>
  <si>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</si>
  <si>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</si>
  <si>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</si>
  <si>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</si>
  <si>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</si>
  <si>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</si>
  <si>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</si>
  <si>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</si>
  <si>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</si>
  <si>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</si>
  <si>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</si>
  <si>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</si>
  <si>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</si>
  <si>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</si>
  <si>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</si>
  <si>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</si>
  <si>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</si>
  <si>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</si>
  <si>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</si>
  <si>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</si>
  <si>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</si>
  <si>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</si>
  <si>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</si>
  <si>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</si>
  <si>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</si>
  <si>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</si>
  <si>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</si>
  <si>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</si>
  <si>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</si>
  <si>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</si>
  <si>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</si>
  <si>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</si>
  <si>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</si>
  <si>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</si>
  <si>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</si>
  <si>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</si>
  <si>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</si>
  <si>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</si>
  <si>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</si>
  <si>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</si>
  <si>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</si>
  <si>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</si>
  <si>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</si>
  <si>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</si>
  <si>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</si>
  <si>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</si>
  <si>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</si>
  <si>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</si>
  <si>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</si>
  <si>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</si>
  <si>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</si>
  <si>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</si>
  <si>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</si>
  <si>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</si>
  <si>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</si>
  <si>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</si>
  <si>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</si>
  <si>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</si>
  <si>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</si>
  <si>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</si>
  <si>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</si>
  <si>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</si>
  <si>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</si>
  <si>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</si>
  <si>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</si>
  <si>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</si>
  <si>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</si>
  <si>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</si>
  <si>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</si>
  <si>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</si>
  <si>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</si>
  <si>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</si>
  <si>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</si>
  <si>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</si>
  <si>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</si>
  <si>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</si>
  <si>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</si>
  <si>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</si>
  <si>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</si>
  <si>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</si>
  <si>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</si>
  <si>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</si>
  <si>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</si>
  <si>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</si>
  <si>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</si>
  <si>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</si>
  <si>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</si>
  <si>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</si>
  <si>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</si>
  <si>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</si>
  <si>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</si>
  <si>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</si>
  <si>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</si>
  <si>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</si>
  <si>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</si>
  <si>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</si>
  <si>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</si>
  <si>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</si>
  <si>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</si>
  <si>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</si>
  <si>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</si>
  <si>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</si>
  <si>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</si>
  <si>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</si>
  <si>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</si>
  <si>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</si>
  <si>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</si>
  <si>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</si>
  <si>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</si>
  <si>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</si>
  <si>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</si>
  <si>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</si>
  <si>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</si>
  <si>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</si>
  <si>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</si>
  <si>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</si>
  <si>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</si>
  <si>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</si>
  <si>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</si>
  <si>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</si>
  <si>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</si>
  <si>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</si>
  <si>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</si>
  <si>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</si>
  <si>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</si>
  <si>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</si>
  <si>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</si>
  <si>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</si>
  <si>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</si>
  <si>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</si>
  <si>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</si>
  <si>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</si>
  <si>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</si>
  <si>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</si>
  <si>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</si>
  <si>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</si>
  <si>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</si>
  <si>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</si>
  <si>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</si>
  <si>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</si>
  <si>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</si>
  <si>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</si>
  <si>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</si>
  <si>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</si>
  <si>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</si>
  <si>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</si>
  <si>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</si>
  <si>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</si>
  <si>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</si>
  <si>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</si>
  <si>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</si>
  <si>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</si>
  <si>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</si>
  <si>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</si>
  <si>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</si>
  <si>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</si>
  <si>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</si>
  <si>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</si>
  <si>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</si>
  <si>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</si>
  <si>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</si>
  <si>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</si>
  <si>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</si>
  <si>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</si>
  <si>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</si>
  <si>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</si>
  <si>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</si>
  <si>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</si>
  <si>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</si>
  <si>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</si>
  <si>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</si>
  <si>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</si>
  <si>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</si>
  <si>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</si>
  <si>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</si>
  <si>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</si>
  <si>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</si>
  <si>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</si>
  <si>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</si>
  <si>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</si>
  <si>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</si>
  <si>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</si>
  <si>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</si>
  <si>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</si>
  <si>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</si>
  <si>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</si>
  <si>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</si>
  <si>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</si>
  <si>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</si>
  <si>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</si>
  <si>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</si>
  <si>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</si>
  <si>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</si>
  <si>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</si>
  <si>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</si>
  <si>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</si>
  <si>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</si>
  <si>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</si>
  <si>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</si>
  <si>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</si>
  <si>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</si>
  <si>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</si>
  <si>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</si>
  <si>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</si>
  <si>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</si>
  <si>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</si>
  <si>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</si>
  <si>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</si>
  <si>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</si>
  <si>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</si>
  <si>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</si>
  <si>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</si>
  <si>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</si>
  <si>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</si>
  <si>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</si>
  <si>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</si>
  <si>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</si>
  <si>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</si>
  <si>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</si>
  <si>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</si>
  <si>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</si>
  <si>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</si>
  <si>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</si>
  <si>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</si>
  <si>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</si>
  <si>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</si>
  <si>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</si>
  <si>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</si>
  <si>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</si>
  <si>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</si>
  <si>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</si>
  <si>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</si>
  <si>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</si>
  <si>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</si>
  <si>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</si>
  <si>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</si>
  <si>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</si>
  <si>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</si>
  <si>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</si>
  <si>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</si>
  <si>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</si>
  <si>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</si>
  <si>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</si>
  <si>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</si>
  <si>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</si>
  <si>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</si>
  <si>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</si>
  <si>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</si>
  <si>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</si>
  <si>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</si>
  <si>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</si>
  <si>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</si>
  <si>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</si>
  <si>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</si>
  <si>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</si>
  <si>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</si>
  <si>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</si>
  <si>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</si>
  <si>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</si>
  <si>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</si>
  <si>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</si>
  <si>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</si>
  <si>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</si>
  <si>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</si>
  <si>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</si>
  <si>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</si>
  <si>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</si>
  <si>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</si>
  <si>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</si>
  <si>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</si>
  <si>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</si>
  <si>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</si>
  <si>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</si>
  <si>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</si>
  <si>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</si>
  <si>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</si>
  <si>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</si>
  <si>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</si>
  <si>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</si>
  <si>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</si>
  <si>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</si>
  <si>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</si>
  <si>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</si>
  <si>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</si>
  <si>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</si>
  <si>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</si>
  <si>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</si>
  <si>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</si>
  <si>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</si>
  <si>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</si>
  <si>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</si>
  <si>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</si>
  <si>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</si>
  <si>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</si>
  <si>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</si>
  <si>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</si>
  <si>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</si>
  <si>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</si>
  <si>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</si>
  <si>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</si>
  <si>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</si>
  <si>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</si>
  <si>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</si>
  <si>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</si>
  <si>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</si>
  <si>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</si>
  <si>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</si>
  <si>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</si>
  <si>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</si>
  <si>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</si>
  <si>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</si>
  <si>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</si>
  <si>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</si>
  <si>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</si>
  <si>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</si>
  <si>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</si>
  <si>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</si>
  <si>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</si>
  <si>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</si>
  <si>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</si>
  <si>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</si>
  <si>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</si>
  <si>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</si>
  <si>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</si>
  <si>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</si>
  <si>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</si>
  <si>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</si>
  <si>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</si>
  <si>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</si>
  <si>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</si>
  <si>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</si>
  <si>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</si>
  <si>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</si>
  <si>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</si>
  <si>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</si>
  <si>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</si>
  <si>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</si>
  <si>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</si>
  <si>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</si>
  <si>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</si>
  <si>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</si>
  <si>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</si>
  <si>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</si>
  <si>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</si>
  <si>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</si>
  <si>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</si>
  <si>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</si>
  <si>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</si>
  <si>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</si>
  <si>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</si>
  <si>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</si>
  <si>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</si>
  <si>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</si>
  <si>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</si>
  <si>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</si>
  <si>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</si>
  <si>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</si>
  <si>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</si>
  <si>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</si>
  <si>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</si>
  <si>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</si>
  <si>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</si>
  <si>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</si>
  <si>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</si>
  <si>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</si>
  <si>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</si>
  <si>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</si>
  <si>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</si>
  <si>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</si>
  <si>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</si>
  <si>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</si>
  <si>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</si>
  <si>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</si>
  <si>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</si>
  <si>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</si>
  <si>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</si>
  <si>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</si>
  <si>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</si>
  <si>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</si>
  <si>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</si>
  <si>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</si>
  <si>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</si>
  <si>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</si>
  <si>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</si>
  <si>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</si>
  <si>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</si>
  <si>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</si>
  <si>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</si>
  <si>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</si>
  <si>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</si>
  <si>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</si>
  <si>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</si>
  <si>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</si>
  <si>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</si>
  <si>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</si>
  <si>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</si>
  <si>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</si>
  <si>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</si>
  <si>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</si>
  <si>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</si>
  <si>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</si>
  <si>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</si>
  <si>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</si>
  <si>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</si>
  <si>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</si>
  <si>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</si>
  <si>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</si>
  <si>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</si>
  <si>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</si>
  <si>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</si>
  <si>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</si>
  <si>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</si>
  <si>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</si>
  <si>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</si>
  <si>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</si>
  <si>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</si>
  <si>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</si>
  <si>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</si>
  <si>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</si>
  <si>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</si>
  <si>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</si>
  <si>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</si>
  <si>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</si>
  <si>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</si>
  <si>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</si>
  <si>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</si>
  <si>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</si>
  <si>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</si>
  <si>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</si>
  <si>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</si>
  <si>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</si>
  <si>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</si>
  <si>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</si>
  <si>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</si>
  <si>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</si>
  <si>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</si>
  <si>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</si>
  <si>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</si>
  <si>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</si>
  <si>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</si>
  <si>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</si>
  <si>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</si>
  <si>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</si>
  <si>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</si>
  <si>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</si>
  <si>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</si>
  <si>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</si>
  <si>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</si>
  <si>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</si>
  <si>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</si>
  <si>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</si>
  <si>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</si>
  <si>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</si>
  <si>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</si>
  <si>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</si>
  <si>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</si>
  <si>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</si>
  <si>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</si>
  <si>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</si>
  <si>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</si>
  <si>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</si>
  <si>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</si>
  <si>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</si>
  <si>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</si>
  <si>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</si>
  <si>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</si>
  <si>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</si>
  <si>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</si>
  <si>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</si>
  <si>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</si>
  <si>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</si>
  <si>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</si>
  <si>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</si>
  <si>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</si>
  <si>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</si>
  <si>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</si>
  <si>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</si>
  <si>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</si>
  <si>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</si>
  <si>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</si>
  <si>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</si>
  <si>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</si>
  <si>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</si>
  <si>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</si>
  <si>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</si>
  <si>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</si>
  <si>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</si>
  <si>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</si>
  <si>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</si>
  <si>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</si>
  <si>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</si>
  <si>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</si>
  <si>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</si>
  <si>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</si>
  <si>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</si>
  <si>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</si>
  <si>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</si>
  <si>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</si>
  <si>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</si>
  <si>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</si>
  <si>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</si>
  <si>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</si>
  <si>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</si>
  <si>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</si>
  <si>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</si>
  <si>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</si>
  <si>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</si>
  <si>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</si>
  <si>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</si>
  <si>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</si>
  <si>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</si>
  <si>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</si>
  <si>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</si>
  <si>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</si>
  <si>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</si>
  <si>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</si>
  <si>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</si>
  <si>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</si>
  <si>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</si>
  <si>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</si>
  <si>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</si>
  <si>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</si>
  <si>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</si>
  <si>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</si>
  <si>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</si>
  <si>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</si>
  <si>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</si>
  <si>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</si>
  <si>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</si>
  <si>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</si>
  <si>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</si>
  <si>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</si>
  <si>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</si>
  <si>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</si>
  <si>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</si>
  <si>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</si>
  <si>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</si>
  <si>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</si>
  <si>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</si>
  <si>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</si>
  <si>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</si>
  <si>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</si>
  <si>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</si>
  <si>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</si>
  <si>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</si>
  <si>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</si>
  <si>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</si>
  <si>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</si>
  <si>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</si>
  <si>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</si>
  <si>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</si>
  <si>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</si>
  <si>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</si>
  <si>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</si>
  <si>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</si>
  <si>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</si>
  <si>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</si>
  <si>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</si>
  <si>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</si>
  <si>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</si>
  <si>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</si>
  <si>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</si>
  <si>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</si>
  <si>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</si>
  <si>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</si>
  <si>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</si>
  <si>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</si>
  <si>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</si>
  <si>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</si>
  <si>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</si>
  <si>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</si>
  <si>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</si>
  <si>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</si>
  <si>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</si>
  <si>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</si>
  <si>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</si>
  <si>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</si>
  <si>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</si>
  <si>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</si>
  <si>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</si>
  <si>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</si>
  <si>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</si>
  <si>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</si>
  <si>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</si>
  <si>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</si>
  <si>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</si>
  <si>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</si>
  <si>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</si>
  <si>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</si>
  <si>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</si>
  <si>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</si>
  <si>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</si>
  <si>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</si>
  <si>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</si>
  <si>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</si>
  <si>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</si>
  <si>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</si>
  <si>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</si>
  <si>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</si>
  <si>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</si>
  <si>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</si>
  <si>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</si>
  <si>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</si>
  <si>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</si>
  <si>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</si>
  <si>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</si>
  <si>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</si>
  <si>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</si>
  <si>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</si>
  <si>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</si>
  <si>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</si>
  <si>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</si>
  <si>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</si>
  <si>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</si>
  <si>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</si>
  <si>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</si>
  <si>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</si>
  <si>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</si>
  <si>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</si>
  <si>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</si>
  <si>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</si>
  <si>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</si>
  <si>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</si>
  <si>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</si>
  <si>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</si>
  <si>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</si>
  <si>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</si>
  <si>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</si>
  <si>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</si>
  <si>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</si>
  <si>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</si>
  <si>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</si>
  <si>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</si>
  <si>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</si>
  <si>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</si>
  <si>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</si>
  <si>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</si>
  <si>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</si>
  <si>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</si>
  <si>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</si>
  <si>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</si>
  <si>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</si>
  <si>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</si>
  <si>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</si>
  <si>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</si>
  <si>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</si>
  <si>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</si>
  <si>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</si>
  <si>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</si>
  <si>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</si>
  <si>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</si>
  <si>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</si>
  <si>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</si>
  <si>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</si>
  <si>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</si>
  <si>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</si>
  <si>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</si>
  <si>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</si>
  <si>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</si>
  <si>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</si>
  <si>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</si>
  <si>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</si>
  <si>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</si>
  <si>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</si>
  <si>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</si>
  <si>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</si>
  <si>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</si>
  <si>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</si>
  <si>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</si>
  <si>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</si>
  <si>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</si>
  <si>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</si>
  <si>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</si>
  <si>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</si>
  <si>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</si>
  <si>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</si>
  <si>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</si>
  <si>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</si>
  <si>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</si>
  <si>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</si>
  <si>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</si>
  <si>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</si>
  <si>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</si>
  <si>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</si>
  <si>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</si>
  <si>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</si>
  <si>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</si>
  <si>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</si>
  <si>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</si>
  <si>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</si>
  <si>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</si>
  <si>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</si>
  <si>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</si>
  <si>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</si>
  <si>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</si>
  <si>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</si>
  <si>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</si>
  <si>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</si>
  <si>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</si>
  <si>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</si>
  <si>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</si>
  <si>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</si>
  <si>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</si>
  <si>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</si>
  <si>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</si>
  <si>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</si>
  <si>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</si>
  <si>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</si>
  <si>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</si>
  <si>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</si>
  <si>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</si>
  <si>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</si>
  <si>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</si>
  <si>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</si>
  <si>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</si>
  <si>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</si>
  <si>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</si>
  <si>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</si>
  <si>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</si>
  <si>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</si>
  <si>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</si>
  <si>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</si>
  <si>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</si>
  <si>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</si>
  <si>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</si>
  <si>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</si>
  <si>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</si>
  <si>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</si>
  <si>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</si>
  <si>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</si>
  <si>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</si>
  <si>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</si>
  <si>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</si>
  <si>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</si>
  <si>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</si>
  <si>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</si>
  <si>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</si>
  <si>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</si>
  <si>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</si>
  <si>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</si>
  <si>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</si>
  <si>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</si>
  <si>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</si>
  <si>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</si>
  <si>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</si>
  <si>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</si>
  <si>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</si>
  <si>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</si>
  <si>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</si>
  <si>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</si>
  <si>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</si>
  <si>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</si>
  <si>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</si>
  <si>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</si>
  <si>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</si>
  <si>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</si>
  <si>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</si>
  <si>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</si>
  <si>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</si>
  <si>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</si>
  <si>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</si>
  <si>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</si>
  <si>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</si>
  <si>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</si>
  <si>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</si>
  <si>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</si>
  <si>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</si>
  <si>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</si>
  <si>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</si>
  <si>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</si>
  <si>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</si>
  <si>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</si>
  <si>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</si>
  <si>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</si>
  <si>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</si>
  <si>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</si>
  <si>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</si>
  <si>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</si>
  <si>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</si>
  <si>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</si>
  <si>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</si>
  <si>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</si>
  <si>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</si>
  <si>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</si>
  <si>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</si>
  <si>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</si>
  <si>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</si>
  <si>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</si>
  <si>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</si>
  <si>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</si>
  <si>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</si>
  <si>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</si>
  <si>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</si>
  <si>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</si>
  <si>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</si>
  <si>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</si>
  <si>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</si>
  <si>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</si>
  <si>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</si>
  <si>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</si>
  <si>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</si>
  <si>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</si>
  <si>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</si>
  <si>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</si>
  <si>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</si>
  <si>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</si>
  <si>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</si>
  <si>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</si>
  <si>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</si>
  <si>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</si>
  <si>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</si>
  <si>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</si>
  <si>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</si>
  <si>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</si>
  <si>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</si>
  <si>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</si>
  <si>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</si>
  <si>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</si>
  <si>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</si>
  <si>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</si>
  <si>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</si>
  <si>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</si>
  <si>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</si>
  <si>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</si>
  <si>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</si>
  <si>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</si>
  <si>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</si>
  <si>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</si>
  <si>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</si>
  <si>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</si>
  <si>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</si>
  <si>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</si>
  <si>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</si>
  <si>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</si>
  <si>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</si>
  <si>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</si>
  <si>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</si>
  <si>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</si>
  <si>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</si>
  <si>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</si>
  <si>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</si>
  <si>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</si>
  <si>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</si>
  <si>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</si>
  <si>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</si>
  <si>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</si>
  <si>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</si>
  <si>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</si>
  <si>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</si>
  <si>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</si>
  <si>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</si>
  <si>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</si>
  <si>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</si>
  <si>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</si>
  <si>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</si>
  <si>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</si>
  <si>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</si>
  <si>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</si>
  <si>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</si>
  <si>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</si>
  <si>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</si>
  <si>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</si>
  <si>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</si>
  <si>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</si>
  <si>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</si>
  <si>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</si>
  <si>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</si>
  <si>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</si>
  <si>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</si>
  <si>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</si>
  <si>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</si>
  <si>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</si>
  <si>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</si>
  <si>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</si>
  <si>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</si>
  <si>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</si>
  <si>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</si>
  <si>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</si>
  <si>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</si>
  <si>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</si>
  <si>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</si>
  <si>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</si>
  <si>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</si>
  <si>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</si>
  <si>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</si>
  <si>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</si>
  <si>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</si>
  <si>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</si>
  <si>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</si>
  <si>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</si>
  <si>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</si>
  <si>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</si>
  <si>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</si>
  <si>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</si>
  <si>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</si>
  <si>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</si>
  <si>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</si>
  <si>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</si>
  <si>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</si>
  <si>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</si>
  <si>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</si>
  <si>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</si>
  <si>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</si>
  <si>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</si>
  <si>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</si>
  <si>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</si>
  <si>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</si>
  <si>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</si>
  <si>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</si>
  <si>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</si>
  <si>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</si>
  <si>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</si>
  <si>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</si>
  <si>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</si>
  <si>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</si>
  <si>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</si>
  <si>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</si>
  <si>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</si>
  <si>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</si>
  <si>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</si>
  <si>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</si>
  <si>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</si>
  <si>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</si>
  <si>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</si>
  <si>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</si>
  <si>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</si>
  <si>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</si>
  <si>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</si>
  <si>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</si>
  <si>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</si>
  <si>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</si>
  <si>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</si>
  <si>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</si>
  <si>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</si>
  <si>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</si>
  <si>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</si>
  <si>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</si>
  <si>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</si>
  <si>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</si>
  <si>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</si>
  <si>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</si>
  <si>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</si>
  <si>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</si>
  <si>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</si>
  <si>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</si>
  <si>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</si>
  <si>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</si>
  <si>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</si>
  <si>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</si>
  <si>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</si>
  <si>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</si>
  <si>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</si>
  <si>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</si>
  <si>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</si>
  <si>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</si>
  <si>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</si>
  <si>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</si>
  <si>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</si>
  <si>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</si>
  <si>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</si>
  <si>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</si>
  <si>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</si>
  <si>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</si>
  <si>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</si>
  <si>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</si>
  <si>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</si>
  <si>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</si>
  <si>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</si>
  <si>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</si>
  <si>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</si>
  <si>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</si>
  <si>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</si>
  <si>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</si>
  <si>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</si>
  <si>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</si>
  <si>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</si>
  <si>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</si>
  <si>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</si>
  <si>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</si>
  <si>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</si>
  <si>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</si>
  <si>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</si>
  <si>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</si>
  <si>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</si>
  <si>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</si>
  <si>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</si>
  <si>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</si>
  <si>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</si>
  <si>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</si>
  <si>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</si>
  <si>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</si>
  <si>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</si>
  <si>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</si>
  <si>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</si>
  <si>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</si>
  <si>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</si>
  <si>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</si>
  <si>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</si>
  <si>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</si>
  <si>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</si>
  <si>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</si>
  <si>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</si>
  <si>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</si>
  <si>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</si>
  <si>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</si>
  <si>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</si>
  <si>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</si>
  <si>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</si>
  <si>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</si>
  <si>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</si>
  <si>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</si>
  <si>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</si>
  <si>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</si>
  <si>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</si>
  <si>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</si>
  <si>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</si>
  <si>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</si>
  <si>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</si>
  <si>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</si>
  <si>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</si>
  <si>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</si>
  <si>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</si>
  <si>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</si>
  <si>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</si>
  <si>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</si>
  <si>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</si>
  <si>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</si>
  <si>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</si>
  <si>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</si>
  <si>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</si>
  <si>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</si>
  <si>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</si>
  <si>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</si>
  <si>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</si>
  <si>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</si>
  <si>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</si>
  <si>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</si>
  <si>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</si>
  <si>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</si>
  <si>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</si>
  <si>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</si>
  <si>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</si>
  <si>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</si>
  <si>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</si>
  <si>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</si>
  <si>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</si>
  <si>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</si>
  <si>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</si>
  <si>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</si>
  <si>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</si>
  <si>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</si>
  <si>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</si>
  <si>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</si>
  <si>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</si>
  <si>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</si>
  <si>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</si>
  <si>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</si>
  <si>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</si>
  <si>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</si>
  <si>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</si>
  <si>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</si>
  <si>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</si>
  <si>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</si>
  <si>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</si>
  <si>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</si>
  <si>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</si>
  <si>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</si>
  <si>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</si>
  <si>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</si>
  <si>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</si>
  <si>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</si>
  <si>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</si>
  <si>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</si>
  <si>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</si>
  <si>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</si>
  <si>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</si>
  <si>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</si>
  <si>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</si>
  <si>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</si>
  <si>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</si>
  <si>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</si>
  <si>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</si>
  <si>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</si>
  <si>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</si>
  <si>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</si>
  <si>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</si>
  <si>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</si>
  <si>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</si>
  <si>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</si>
  <si>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</si>
  <si>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</si>
  <si>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</si>
  <si>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</si>
  <si>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</si>
  <si>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</si>
  <si>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</si>
  <si>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</si>
  <si>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</si>
  <si>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</si>
  <si>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</si>
  <si>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</si>
  <si>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</si>
  <si>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</si>
  <si>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</si>
  <si>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</si>
  <si>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</si>
  <si>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</si>
  <si>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</si>
  <si>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</si>
  <si>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</si>
  <si>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</si>
  <si>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</si>
  <si>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</si>
  <si>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</si>
  <si>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</si>
  <si>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</si>
  <si>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</si>
  <si>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</si>
  <si>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</si>
  <si>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</si>
  <si>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</si>
  <si>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</si>
  <si>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</si>
  <si>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</si>
  <si>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</si>
  <si>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</si>
  <si>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</si>
  <si>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</si>
  <si>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</si>
  <si>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</si>
  <si>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</si>
  <si>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</si>
  <si>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</si>
  <si>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</si>
  <si>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</si>
  <si>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</si>
  <si>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</si>
  <si>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</si>
  <si>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</si>
  <si>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</si>
  <si>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</si>
  <si>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</si>
  <si>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</si>
  <si>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</si>
  <si>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</si>
  <si>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</si>
  <si>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</si>
  <si>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</si>
  <si>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</si>
  <si>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</si>
  <si>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</si>
  <si>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</si>
  <si>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</si>
  <si>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</si>
  <si>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</si>
  <si>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</si>
  <si>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</si>
  <si>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</si>
  <si>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</si>
  <si>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</si>
  <si>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</si>
  <si>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</si>
  <si>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</si>
  <si>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</si>
  <si>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</si>
  <si>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</si>
  <si>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</si>
  <si>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</si>
  <si>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</si>
  <si>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</si>
  <si>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</si>
  <si>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</si>
  <si>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</si>
  <si>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</si>
  <si>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</si>
  <si>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</si>
  <si>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</si>
  <si>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</si>
  <si>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</si>
  <si>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</si>
  <si>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</si>
  <si>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</si>
  <si>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</si>
  <si>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</si>
  <si>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</si>
  <si>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</si>
  <si>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</si>
  <si>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</si>
  <si>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</si>
  <si>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</si>
  <si>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</si>
  <si>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</si>
  <si>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</si>
  <si>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</si>
  <si>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</si>
  <si>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</si>
  <si>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</si>
  <si>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</si>
  <si>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</si>
  <si>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</si>
  <si>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</si>
  <si>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</si>
  <si>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</si>
  <si>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</si>
  <si>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</si>
  <si>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</si>
  <si>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</si>
  <si>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</si>
  <si>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</si>
  <si>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</si>
  <si>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</si>
  <si>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</si>
  <si>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</si>
  <si>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</si>
  <si>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</si>
  <si>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</si>
  <si>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</si>
  <si>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</si>
  <si>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</si>
  <si>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</si>
  <si>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</si>
  <si>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</si>
  <si>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</si>
  <si>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</si>
  <si>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</si>
  <si>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</si>
  <si>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</si>
  <si>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</si>
  <si>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</si>
  <si>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</si>
  <si>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</si>
  <si>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</si>
  <si>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</si>
  <si>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</si>
  <si>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</si>
  <si>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</si>
  <si>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</si>
  <si>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</si>
  <si>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</si>
  <si>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</si>
  <si>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</si>
  <si>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</si>
  <si>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</si>
  <si>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</si>
  <si>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</si>
  <si>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</si>
  <si>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</si>
  <si>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</si>
  <si>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</si>
  <si>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</si>
  <si>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</si>
  <si>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</si>
  <si>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</si>
  <si>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</si>
  <si>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</si>
  <si>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</si>
  <si>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</si>
  <si>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</si>
  <si>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</si>
  <si>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</si>
  <si>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</si>
  <si>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</si>
  <si>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</si>
  <si>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</si>
  <si>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</si>
  <si>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</si>
  <si>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</si>
  <si>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</si>
  <si>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</si>
  <si>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</si>
  <si>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</si>
  <si>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</si>
  <si>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</si>
  <si>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</si>
  <si>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</si>
  <si>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</si>
  <si>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</si>
  <si>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</si>
  <si>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</si>
  <si>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</si>
  <si>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</si>
  <si>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</si>
  <si>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</si>
  <si>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</si>
  <si>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</si>
  <si>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</si>
  <si>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</si>
  <si>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</si>
  <si>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</si>
  <si>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</si>
  <si>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</si>
  <si>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</si>
  <si>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</si>
  <si>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</si>
  <si>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</si>
  <si>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</si>
  <si>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</si>
  <si>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</si>
  <si>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</si>
  <si>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</si>
  <si>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</si>
  <si>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</si>
  <si>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</si>
  <si>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</si>
  <si>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</si>
  <si>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</si>
  <si>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</si>
  <si>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</si>
  <si>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</si>
  <si>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</si>
  <si>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</si>
  <si>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</si>
  <si>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</si>
  <si>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</si>
  <si>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</si>
  <si>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</si>
  <si>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</si>
  <si>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</si>
  <si>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</si>
  <si>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</si>
  <si>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</si>
  <si>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</si>
  <si>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</si>
  <si>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</si>
  <si>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</si>
  <si>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</si>
  <si>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</si>
  <si>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</si>
  <si>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</si>
  <si>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</si>
  <si>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</si>
  <si>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</si>
  <si>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</si>
  <si>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</si>
  <si>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</si>
  <si>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</si>
  <si>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</si>
  <si>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</si>
  <si>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</si>
  <si>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</si>
  <si>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</si>
  <si>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</si>
  <si>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</si>
  <si>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</si>
  <si>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</si>
  <si>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</si>
  <si>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</si>
  <si>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</si>
  <si>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</si>
  <si>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</si>
  <si>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</si>
  <si>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</si>
  <si>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</si>
  <si>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</si>
  <si>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</si>
  <si>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</si>
  <si>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</si>
  <si>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</si>
  <si>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</si>
  <si>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</si>
  <si>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</si>
  <si>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</si>
  <si>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</si>
  <si>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</si>
  <si>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</si>
  <si>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</si>
  <si>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</si>
  <si>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</si>
  <si>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</si>
  <si>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</si>
  <si>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</si>
  <si>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</si>
  <si>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</si>
  <si>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</si>
  <si>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</si>
  <si>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</si>
  <si>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</si>
  <si>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</si>
  <si>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</si>
  <si>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</si>
  <si>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</si>
  <si>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</si>
  <si>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</si>
  <si>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</si>
  <si>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</si>
  <si>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</si>
  <si>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</si>
  <si>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</si>
  <si>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</si>
  <si>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</si>
  <si>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</si>
  <si>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</si>
  <si>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</si>
  <si>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</si>
  <si>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</si>
  <si>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</si>
  <si>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</si>
  <si>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</si>
  <si>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</si>
  <si>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</si>
  <si>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</si>
  <si>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</si>
  <si>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</si>
  <si>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</si>
  <si>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</si>
  <si>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</si>
  <si>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</si>
  <si>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</si>
  <si>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</si>
  <si>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</si>
  <si>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</si>
  <si>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</si>
  <si>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</si>
  <si>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</si>
  <si>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</si>
  <si>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</si>
  <si>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</si>
  <si>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</si>
  <si>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</si>
  <si>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</si>
  <si>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</si>
  <si>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</si>
  <si>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</si>
  <si>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</si>
  <si>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</si>
  <si>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</si>
  <si>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</si>
  <si>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</si>
  <si>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</si>
  <si>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</si>
  <si>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</si>
  <si>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</si>
  <si>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</si>
  <si>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</si>
  <si>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</si>
  <si>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</si>
  <si>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</si>
  <si>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</si>
  <si>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</si>
  <si>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</si>
  <si>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</si>
  <si>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</si>
  <si>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</si>
  <si>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</si>
  <si>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</si>
  <si>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</si>
  <si>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</si>
  <si>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</si>
  <si>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</si>
  <si>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</si>
  <si>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</si>
  <si>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</si>
  <si>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</si>
  <si>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</si>
  <si>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</si>
  <si>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</si>
  <si>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</si>
  <si>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</si>
  <si>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</si>
  <si>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</si>
  <si>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</si>
  <si>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</si>
  <si>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</si>
  <si>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</si>
  <si>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</si>
  <si>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</si>
  <si>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</si>
  <si>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</si>
  <si>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</si>
  <si>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</si>
  <si>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</si>
  <si>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</si>
  <si>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</si>
  <si>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</si>
  <si>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</si>
  <si>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</si>
  <si>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</si>
  <si>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</si>
  <si>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</si>
  <si>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</si>
  <si>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</si>
  <si>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</si>
  <si>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</si>
  <si>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</si>
  <si>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</si>
  <si>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</si>
  <si>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</si>
  <si>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</si>
  <si>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</si>
  <si>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</si>
  <si>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</si>
  <si>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</si>
  <si>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</si>
  <si>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</si>
  <si>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</si>
  <si>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</si>
  <si>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</si>
  <si>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</si>
  <si>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</si>
  <si>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</si>
  <si>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</si>
  <si>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</si>
  <si>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</si>
  <si>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</si>
  <si>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</si>
  <si>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</si>
  <si>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</si>
  <si>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</si>
  <si>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</si>
  <si>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</si>
  <si>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</si>
  <si>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</si>
  <si>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</si>
  <si>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</si>
  <si>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</si>
  <si>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</si>
  <si>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</si>
  <si>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</si>
  <si>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</si>
  <si>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</si>
  <si>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</si>
  <si>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</si>
  <si>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</si>
  <si>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</si>
  <si>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</si>
  <si>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</si>
  <si>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</si>
  <si>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</si>
  <si>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</si>
  <si>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</si>
  <si>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</si>
  <si>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</si>
  <si>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</si>
  <si>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</si>
  <si>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</si>
  <si>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</si>
  <si>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</si>
  <si>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</si>
  <si>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</si>
  <si>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</si>
  <si>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</si>
  <si>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</si>
  <si>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</si>
  <si>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</si>
  <si>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</si>
  <si>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</si>
  <si>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</si>
  <si>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</si>
  <si>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</si>
  <si>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</si>
  <si>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</si>
  <si>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</si>
  <si>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</si>
  <si>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</si>
  <si>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</si>
  <si>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</si>
  <si>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</si>
  <si>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</si>
  <si>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</si>
  <si>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</si>
  <si>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</si>
  <si>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</si>
  <si>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</si>
  <si>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</si>
  <si>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</si>
  <si>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</si>
  <si>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</si>
  <si>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</si>
  <si>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</si>
  <si>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</si>
  <si>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</si>
  <si>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</si>
  <si>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</si>
  <si>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</si>
  <si>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</si>
  <si>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</si>
  <si>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</si>
  <si>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</si>
  <si>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</si>
  <si>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</si>
  <si>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</si>
  <si>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</si>
  <si>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</si>
  <si>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</si>
  <si>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</si>
  <si>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</si>
  <si>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</si>
  <si>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</si>
  <si>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</si>
  <si>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</si>
  <si>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</si>
  <si>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</si>
  <si>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</si>
  <si>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</si>
  <si>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</si>
  <si>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</si>
  <si>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</si>
  <si>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</si>
  <si>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</si>
  <si>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</si>
  <si>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</si>
  <si>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</si>
  <si>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</si>
  <si>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</si>
  <si>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</si>
  <si>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</si>
  <si>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</si>
  <si>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</si>
  <si>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</si>
  <si>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</si>
  <si>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</si>
  <si>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</si>
  <si>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</si>
  <si>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</si>
  <si>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</si>
  <si>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</si>
  <si>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</si>
  <si>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</si>
  <si>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</si>
  <si>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</si>
  <si>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</si>
  <si>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</si>
  <si>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</si>
  <si>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</si>
  <si>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</si>
  <si>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</si>
  <si>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</si>
  <si>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</si>
  <si>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</si>
  <si>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</si>
  <si>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</si>
  <si>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</si>
  <si>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</si>
  <si>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</si>
  <si>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</si>
  <si>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</si>
  <si>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</si>
  <si>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</si>
  <si>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</si>
  <si>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</si>
  <si>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</si>
  <si>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</si>
  <si>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</si>
  <si>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</si>
  <si>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</si>
  <si>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</si>
  <si>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</si>
  <si>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</si>
  <si>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</si>
  <si>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</si>
  <si>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</si>
  <si>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</si>
  <si>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</si>
  <si>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</si>
  <si>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</si>
  <si>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</si>
  <si>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</si>
  <si>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</si>
  <si>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</si>
  <si>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</si>
  <si>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</si>
  <si>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</si>
  <si>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</si>
  <si>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</si>
  <si>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</si>
  <si>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</si>
  <si>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</si>
  <si>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</si>
  <si>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</si>
  <si>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</si>
  <si>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</si>
  <si>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</si>
  <si>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</si>
  <si>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</si>
  <si>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</si>
  <si>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</si>
  <si>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</si>
  <si>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</si>
  <si>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</si>
  <si>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</si>
  <si>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</si>
  <si>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</si>
  <si>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</si>
  <si>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</si>
  <si>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</si>
  <si>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</si>
  <si>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</si>
  <si>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</si>
  <si>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</si>
  <si>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</si>
  <si>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</si>
  <si>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</si>
  <si>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</si>
  <si>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</si>
  <si>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</si>
  <si>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</si>
  <si>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</si>
  <si>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</si>
  <si>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</si>
  <si>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</si>
  <si>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</si>
  <si>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</si>
  <si>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</si>
  <si>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</si>
  <si>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</si>
  <si>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</si>
  <si>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</si>
  <si>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</si>
  <si>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</si>
  <si>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</si>
  <si>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</si>
  <si>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</si>
  <si>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</si>
  <si>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</si>
  <si>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</si>
  <si>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</si>
  <si>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</si>
  <si>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</si>
  <si>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</si>
  <si>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</si>
  <si>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</si>
  <si>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</si>
  <si>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</si>
  <si>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</si>
  <si>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</si>
  <si>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</si>
  <si>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</si>
  <si>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</si>
  <si>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</si>
  <si>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</si>
  <si>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</si>
  <si>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</si>
  <si>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</si>
  <si>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</si>
  <si>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</si>
  <si>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</si>
  <si>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</si>
  <si>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</si>
  <si>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</si>
  <si>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</si>
  <si>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</si>
  <si>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</si>
  <si>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</si>
  <si>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</si>
  <si>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</si>
  <si>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</si>
  <si>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</si>
  <si>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</si>
  <si>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</si>
  <si>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</si>
  <si>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</si>
  <si>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</si>
  <si>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</si>
  <si>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</si>
  <si>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</si>
  <si>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</si>
  <si>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</si>
  <si>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</si>
  <si>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</si>
  <si>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</si>
  <si>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</si>
  <si>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</si>
  <si>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</si>
  <si>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</si>
  <si>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</si>
  <si>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</si>
  <si>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</si>
  <si>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</si>
  <si>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</si>
  <si>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</si>
  <si>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</si>
  <si>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</si>
  <si>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</si>
  <si>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</si>
  <si>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</si>
  <si>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</si>
  <si>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</si>
  <si>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</si>
  <si>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</si>
  <si>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</si>
  <si>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</si>
  <si>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</si>
  <si>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</si>
  <si>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</si>
  <si>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</si>
  <si>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</si>
  <si>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</si>
  <si>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</si>
  <si>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</si>
  <si>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</si>
  <si>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</si>
  <si>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</si>
  <si>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</si>
  <si>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</si>
  <si>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</si>
  <si>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</si>
  <si>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</si>
  <si>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</si>
  <si>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</si>
  <si>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</si>
  <si>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</si>
  <si>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</si>
  <si>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</si>
  <si>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</si>
  <si>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</si>
  <si>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</si>
  <si>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</si>
  <si>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</si>
  <si>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</si>
  <si>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</si>
  <si>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</si>
  <si>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</si>
  <si>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</si>
  <si>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</si>
  <si>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</si>
  <si>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</si>
  <si>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</si>
  <si>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</si>
  <si>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</si>
  <si>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</si>
  <si>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</si>
  <si>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</si>
  <si>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</si>
  <si>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</si>
  <si>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</si>
  <si>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</si>
  <si>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</si>
  <si>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</si>
  <si>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</si>
  <si>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</si>
  <si>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</si>
  <si>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</si>
  <si>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</si>
  <si>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</si>
  <si>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</si>
  <si>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</si>
  <si>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</si>
  <si>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</si>
  <si>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</si>
  <si>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</si>
  <si>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</si>
  <si>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</si>
  <si>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</si>
  <si>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</si>
  <si>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</si>
  <si>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</si>
  <si>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</si>
  <si>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</si>
  <si>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</si>
  <si>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</si>
  <si>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</si>
  <si>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</si>
  <si>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</si>
  <si>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</si>
  <si>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</si>
  <si>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</si>
  <si>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</si>
  <si>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</si>
  <si>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</si>
  <si>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</si>
  <si>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</si>
  <si>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</si>
  <si>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</si>
  <si>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</si>
  <si>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</si>
  <si>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</si>
  <si>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</si>
  <si>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</si>
  <si>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</si>
  <si>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</si>
  <si>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</si>
  <si>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</si>
  <si>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</si>
  <si>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</si>
  <si>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</si>
  <si>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</si>
  <si>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</si>
  <si>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</si>
  <si>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</si>
  <si>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</si>
  <si>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</si>
  <si>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</si>
  <si>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</si>
  <si>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</si>
  <si>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</si>
  <si>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</si>
  <si>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</si>
  <si>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</si>
  <si>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</si>
  <si>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</si>
  <si>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</si>
  <si>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</si>
  <si>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</si>
  <si>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</si>
  <si>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</si>
  <si>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</si>
  <si>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</si>
  <si>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</si>
  <si>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</si>
  <si>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</si>
  <si>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</si>
  <si>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</si>
  <si>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</si>
  <si>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</si>
  <si>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</si>
  <si>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</si>
  <si>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</si>
  <si>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</si>
  <si>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</si>
  <si>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</si>
  <si>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</si>
  <si>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</si>
  <si>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</si>
  <si>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</si>
  <si>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</si>
  <si>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</si>
  <si>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</si>
  <si>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</si>
  <si>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</si>
  <si>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</si>
  <si>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</si>
  <si>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</si>
  <si>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</si>
  <si>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</si>
  <si>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</si>
  <si>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</si>
  <si>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</si>
  <si>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</si>
  <si>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</si>
  <si>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</si>
  <si>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</si>
  <si>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</si>
  <si>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</si>
  <si>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</si>
  <si>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</si>
  <si>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</si>
  <si>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</si>
  <si>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</si>
  <si>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</si>
  <si>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</si>
  <si>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</si>
  <si>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</si>
  <si>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</si>
  <si>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</si>
  <si>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</si>
  <si>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</si>
  <si>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</si>
  <si>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</si>
  <si>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</si>
  <si>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</si>
  <si>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</si>
  <si>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</si>
  <si>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</si>
  <si>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</si>
  <si>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</si>
  <si>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</si>
  <si>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</si>
  <si>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</si>
  <si>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</si>
  <si>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</si>
  <si>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</si>
  <si>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</si>
  <si>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</si>
  <si>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</si>
  <si>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</si>
  <si>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</si>
  <si>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</si>
  <si>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</si>
  <si>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</si>
  <si>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</si>
  <si>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</si>
  <si>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</si>
  <si>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</si>
  <si>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</si>
  <si>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</si>
  <si>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</si>
  <si>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</si>
  <si>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</si>
  <si>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</si>
  <si>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</si>
  <si>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</si>
  <si>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</si>
  <si>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</si>
  <si>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</si>
  <si>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</si>
  <si>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</si>
  <si>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</si>
  <si>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</si>
  <si>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</si>
  <si>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</si>
  <si>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</si>
  <si>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</si>
  <si>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</si>
  <si>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</si>
  <si>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</si>
  <si>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</si>
  <si>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</si>
  <si>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</si>
  <si>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</si>
  <si>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</si>
  <si>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</si>
  <si>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</si>
  <si>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</si>
  <si>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</si>
  <si>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</si>
  <si>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</si>
  <si>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</si>
  <si>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</si>
  <si>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</si>
  <si>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</si>
  <si>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</si>
  <si>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</si>
  <si>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</si>
  <si>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</si>
  <si>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</si>
  <si>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</si>
  <si>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</si>
  <si>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</si>
  <si>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</si>
  <si>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</si>
  <si>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</si>
  <si>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</si>
  <si>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</si>
  <si>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</si>
  <si>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</si>
  <si>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</si>
  <si>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</si>
  <si>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</si>
  <si>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</si>
  <si>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</si>
  <si>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</si>
  <si>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</si>
  <si>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</si>
  <si>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</si>
  <si>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</si>
  <si>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</si>
  <si>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</si>
  <si>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</si>
  <si>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</si>
  <si>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</si>
  <si>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</si>
  <si>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</si>
  <si>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</si>
  <si>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</si>
  <si>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</si>
  <si>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</si>
  <si>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</si>
  <si>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</si>
  <si>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</si>
  <si>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</si>
  <si>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</si>
  <si>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</si>
  <si>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</si>
  <si>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</si>
  <si>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</si>
  <si>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</si>
  <si>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</si>
  <si>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</si>
  <si>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</si>
  <si>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</si>
  <si>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</si>
  <si>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</si>
  <si>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</si>
  <si>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</si>
  <si>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</si>
  <si>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</si>
  <si>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</si>
  <si>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</si>
  <si>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</si>
  <si>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</si>
  <si>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</si>
  <si>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</si>
  <si>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</si>
  <si>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</si>
  <si>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</si>
  <si>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</si>
  <si>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</si>
  <si>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</si>
  <si>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</si>
  <si>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</si>
  <si>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</si>
  <si>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</si>
  <si>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</si>
  <si>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</si>
  <si>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</si>
  <si>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</si>
  <si>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</si>
  <si>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</si>
  <si>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</si>
  <si>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</si>
  <si>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</si>
  <si>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</si>
  <si>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</si>
  <si>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</si>
  <si>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</si>
  <si>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</si>
  <si>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</si>
  <si>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</si>
  <si>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</si>
  <si>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</si>
  <si>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</si>
  <si>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</si>
  <si>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</si>
  <si>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</si>
  <si>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</si>
  <si>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</si>
  <si>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</si>
  <si>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</si>
  <si>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</si>
  <si>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</si>
  <si>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</si>
  <si>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</si>
  <si>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</si>
  <si>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</si>
  <si>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</si>
  <si>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</si>
  <si>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</si>
  <si>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</si>
  <si>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</si>
  <si>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</si>
  <si>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</si>
  <si>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</si>
  <si>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</si>
  <si>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</si>
  <si>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</si>
  <si>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</si>
  <si>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</si>
  <si>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</si>
  <si>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</si>
  <si>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</si>
  <si>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</si>
  <si>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</si>
  <si>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</si>
  <si>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</si>
  <si>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</si>
  <si>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</si>
  <si>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</si>
  <si>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</si>
  <si>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</si>
  <si>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</si>
  <si>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</si>
  <si>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</si>
  <si>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</si>
  <si>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</si>
  <si>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</si>
  <si>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</si>
  <si>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</si>
  <si>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</si>
  <si>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</si>
  <si>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</si>
  <si>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</si>
  <si>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</si>
  <si>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</si>
  <si>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</si>
  <si>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</si>
  <si>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</si>
  <si>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</si>
  <si>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</si>
  <si>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</si>
  <si>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</si>
  <si>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</si>
  <si>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</si>
  <si>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</si>
  <si>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</si>
  <si>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</si>
  <si>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</si>
  <si>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</si>
  <si>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</si>
  <si>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</si>
  <si>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</si>
  <si>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</si>
  <si>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</si>
  <si>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</si>
  <si>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</si>
  <si>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</si>
  <si>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</si>
  <si>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</si>
  <si>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</si>
  <si>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</si>
  <si>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</si>
  <si>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</si>
  <si>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</si>
  <si>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</si>
  <si>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</si>
  <si>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</si>
  <si>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</si>
  <si>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</si>
  <si>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</si>
  <si>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</si>
  <si>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</si>
  <si>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</si>
  <si>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</si>
  <si>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</si>
  <si>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</si>
  <si>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</si>
  <si>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</si>
  <si>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</si>
  <si>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</si>
  <si>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</si>
  <si>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</si>
  <si>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</si>
  <si>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</si>
  <si>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</si>
  <si>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</si>
  <si>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</si>
  <si>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</si>
  <si>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</si>
  <si>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</si>
  <si>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</si>
  <si>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</si>
  <si>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</si>
  <si>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</si>
  <si>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</si>
  <si>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</si>
  <si>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</si>
  <si>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</si>
  <si>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</si>
  <si>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</si>
  <si>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</si>
  <si>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</si>
  <si>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</si>
  <si>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</si>
  <si>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</si>
  <si>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</si>
  <si>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</si>
  <si>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</si>
  <si>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</si>
  <si>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</si>
  <si>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</si>
  <si>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</si>
  <si>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</si>
  <si>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</si>
  <si>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</si>
  <si>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</si>
  <si>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</si>
  <si>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</si>
  <si>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</si>
  <si>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</si>
  <si>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</si>
  <si>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</si>
  <si>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</si>
  <si>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</si>
  <si>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</si>
  <si>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</si>
  <si>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</si>
  <si>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</si>
  <si>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</si>
  <si>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</si>
  <si>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</si>
  <si>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</si>
  <si>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</si>
  <si>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</si>
  <si>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</si>
  <si>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</si>
  <si>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</si>
  <si>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</si>
  <si>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</si>
  <si>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</si>
  <si>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</si>
  <si>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</si>
  <si>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</si>
  <si>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</si>
  <si>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</si>
  <si>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</si>
  <si>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</si>
  <si>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</si>
  <si>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</si>
  <si>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</si>
  <si>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</si>
  <si>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</si>
  <si>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</si>
  <si>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</si>
  <si>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</si>
  <si>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</si>
  <si>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</si>
  <si>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</si>
  <si>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</si>
  <si>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</si>
  <si>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</si>
  <si>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</si>
  <si>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</si>
  <si>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</si>
  <si>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</si>
  <si>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</si>
  <si>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</si>
  <si>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</si>
  <si>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</si>
  <si>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</si>
  <si>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</si>
  <si>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</si>
  <si>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</si>
  <si>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</si>
  <si>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</si>
  <si>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</si>
  <si>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</si>
  <si>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</si>
  <si>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</si>
  <si>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</si>
  <si>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</si>
  <si>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</si>
  <si>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</si>
  <si>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</si>
  <si>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</si>
  <si>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</si>
  <si>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</si>
  <si>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</si>
  <si>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</si>
  <si>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</si>
  <si>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</si>
  <si>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</si>
  <si>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</si>
  <si>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</si>
  <si>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</si>
  <si>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</si>
  <si>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</si>
  <si>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</si>
  <si>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</si>
  <si>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</si>
  <si>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</si>
  <si>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</si>
  <si>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</si>
  <si>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</si>
  <si>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</si>
  <si>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</si>
  <si>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</si>
  <si>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</si>
  <si>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</si>
  <si>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</si>
  <si>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</si>
  <si>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</si>
  <si>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</si>
  <si>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</si>
  <si>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</si>
  <si>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</si>
  <si>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</si>
  <si>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</si>
  <si>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</si>
  <si>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</si>
  <si>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</si>
  <si>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</si>
  <si>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</si>
  <si>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</si>
  <si>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</si>
  <si>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</si>
  <si>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</si>
  <si>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</si>
  <si>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</si>
  <si>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</si>
  <si>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</si>
  <si>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</si>
  <si>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</si>
  <si>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</si>
  <si>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</si>
  <si>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</si>
  <si>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</si>
  <si>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</si>
  <si>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</si>
  <si>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</si>
  <si>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</si>
  <si>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</si>
  <si>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</si>
  <si>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</si>
  <si>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</si>
  <si>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</si>
  <si>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</si>
  <si>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</si>
  <si>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</si>
  <si>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</si>
  <si>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</si>
  <si>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</si>
  <si>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</si>
  <si>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</si>
  <si>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</si>
  <si>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</si>
  <si>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</si>
  <si>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</si>
  <si>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</si>
  <si>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</si>
  <si>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</si>
  <si>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</si>
  <si>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</si>
  <si>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</si>
  <si>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</si>
  <si>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</si>
  <si>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</si>
  <si>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</si>
  <si>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</si>
  <si>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</si>
  <si>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</si>
  <si>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</si>
  <si>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</si>
  <si>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</si>
  <si>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</si>
  <si>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</si>
  <si>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</si>
  <si>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</si>
  <si>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</si>
  <si>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</si>
  <si>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</si>
  <si>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</si>
  <si>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</si>
  <si>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</si>
  <si>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</si>
  <si>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</si>
  <si>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</si>
  <si>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</si>
  <si>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</si>
  <si>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</si>
  <si>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</si>
  <si>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</si>
  <si>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</si>
  <si>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</si>
  <si>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</si>
  <si>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</si>
  <si>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</si>
  <si>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</si>
  <si>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</si>
  <si>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</si>
  <si>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</si>
  <si>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</si>
  <si>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</si>
  <si>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</si>
  <si>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</si>
  <si>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</si>
  <si>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</si>
  <si>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</si>
  <si>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</si>
  <si>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</si>
  <si>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</si>
  <si>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</si>
  <si>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</si>
  <si>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</si>
  <si>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</si>
  <si>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</si>
  <si>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</si>
  <si>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</si>
  <si>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</si>
  <si>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</si>
  <si>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</si>
  <si>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</si>
  <si>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</si>
  <si>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</si>
  <si>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</si>
  <si>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</si>
  <si>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</si>
  <si>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</si>
  <si>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</si>
  <si>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</si>
  <si>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</si>
  <si>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</si>
  <si>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</si>
  <si>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</si>
  <si>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</si>
  <si>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</si>
  <si>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</si>
  <si>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</si>
  <si>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</si>
  <si>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</si>
  <si>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</si>
  <si>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</si>
  <si>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</si>
  <si>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</si>
  <si>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</si>
  <si>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</si>
  <si>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</si>
  <si>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</si>
  <si>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</si>
  <si>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</si>
  <si>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</si>
  <si>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</si>
  <si>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</si>
  <si>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</si>
  <si>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</si>
  <si>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</si>
  <si>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</si>
  <si>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</si>
  <si>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</si>
  <si>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</si>
  <si>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</si>
  <si>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</si>
  <si>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</si>
  <si>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</si>
  <si>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</si>
  <si>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</si>
  <si>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</si>
  <si>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</si>
  <si>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</si>
  <si>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</si>
  <si>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</si>
  <si>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</si>
  <si>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</si>
  <si>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</si>
  <si>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</si>
  <si>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</si>
  <si>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</si>
  <si>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</si>
  <si>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</si>
  <si>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</si>
  <si>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</si>
  <si>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</si>
  <si>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</si>
  <si>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</si>
  <si>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</si>
  <si>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</si>
  <si>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</si>
  <si>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</si>
  <si>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</si>
  <si>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</si>
  <si>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</si>
  <si>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</si>
  <si>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</si>
  <si>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</si>
  <si>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</si>
  <si>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</si>
  <si>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</si>
  <si>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</si>
  <si>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</si>
  <si>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</si>
  <si>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</si>
  <si>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</si>
  <si>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</si>
  <si>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</si>
  <si>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</si>
  <si>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</si>
  <si>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</si>
  <si>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</si>
  <si>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</si>
  <si>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</si>
  <si>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</si>
  <si>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</si>
  <si>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</si>
  <si>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</si>
  <si>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</si>
  <si>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</si>
  <si>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</si>
  <si>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</si>
  <si>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</si>
  <si>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</si>
  <si>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</si>
  <si>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</si>
  <si>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</si>
  <si>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</si>
  <si>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</si>
  <si>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</si>
  <si>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</si>
  <si>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</si>
  <si>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</si>
  <si>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</si>
  <si>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</si>
  <si>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</si>
  <si>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</si>
  <si>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</si>
  <si>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</si>
  <si>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</si>
  <si>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</si>
  <si>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</si>
  <si>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</si>
  <si>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</si>
  <si>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</si>
  <si>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</si>
  <si>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</si>
  <si>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</si>
  <si>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</si>
  <si>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</si>
  <si>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</si>
  <si>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</si>
  <si>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</si>
  <si>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</si>
  <si>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</si>
  <si>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</si>
  <si>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</si>
  <si>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</si>
  <si>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</si>
  <si>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</si>
  <si>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</si>
  <si>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</si>
  <si>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</si>
  <si>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</si>
  <si>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</si>
  <si>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</si>
  <si>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</si>
  <si>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</si>
  <si>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</si>
  <si>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</si>
  <si>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</si>
  <si>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</si>
  <si>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</si>
  <si>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</si>
  <si>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</si>
  <si>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</si>
  <si>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</si>
  <si>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</si>
  <si>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</si>
  <si>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</si>
  <si>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</si>
  <si>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</si>
  <si>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</si>
  <si>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</si>
  <si>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</si>
  <si>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</si>
  <si>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</si>
  <si>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</si>
  <si>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</si>
  <si>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</si>
  <si>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</si>
  <si>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</si>
  <si>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</si>
  <si>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</si>
  <si>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</si>
  <si>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</si>
  <si>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</si>
  <si>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</si>
  <si>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</si>
  <si>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</si>
  <si>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</si>
  <si>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</si>
  <si>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</si>
  <si>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</si>
  <si>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</si>
  <si>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</si>
  <si>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</si>
  <si>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</si>
  <si>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</si>
  <si>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</si>
  <si>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</si>
  <si>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</si>
  <si>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</si>
  <si>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</si>
  <si>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</si>
  <si>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</si>
  <si>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</si>
  <si>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</si>
  <si>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</si>
  <si>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</si>
  <si>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</si>
  <si>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</si>
  <si>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</si>
  <si>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</si>
  <si>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</si>
  <si>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</si>
  <si>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</si>
  <si>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</si>
  <si>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</si>
  <si>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</si>
  <si>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</si>
  <si>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</si>
  <si>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</si>
  <si>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</si>
  <si>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</si>
  <si>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</si>
  <si>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</si>
  <si>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</si>
  <si>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</si>
  <si>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</si>
  <si>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</si>
  <si>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</si>
  <si>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</si>
  <si>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</si>
  <si>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</si>
  <si>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</si>
  <si>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</si>
  <si>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</si>
  <si>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</si>
  <si>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</si>
  <si>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</si>
  <si>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</si>
  <si>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</si>
  <si>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</si>
  <si>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</si>
  <si>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</si>
  <si>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</si>
  <si>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</si>
  <si>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</si>
  <si>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</si>
  <si>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</si>
  <si>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</si>
  <si>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</si>
  <si>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</si>
  <si>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</si>
  <si>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</si>
  <si>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</si>
  <si>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</si>
  <si>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</si>
  <si>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</si>
  <si>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</si>
  <si>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</si>
  <si>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</si>
  <si>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</si>
  <si>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</si>
  <si>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</si>
  <si>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</si>
  <si>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</si>
  <si>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</si>
  <si>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</si>
  <si>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</si>
  <si>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</si>
  <si>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</si>
  <si>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</si>
  <si>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</si>
  <si>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</si>
  <si>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</si>
  <si>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</si>
  <si>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</si>
  <si>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</si>
  <si>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</si>
  <si>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</si>
  <si>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</si>
  <si>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</si>
  <si>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</si>
  <si>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</si>
  <si>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</si>
  <si>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</si>
  <si>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</si>
  <si>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</si>
  <si>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</si>
  <si>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</si>
  <si>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</si>
  <si>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</si>
  <si>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</si>
  <si>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</si>
  <si>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</si>
  <si>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</si>
  <si>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</si>
  <si>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</si>
  <si>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</si>
  <si>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</si>
  <si>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</si>
  <si>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</si>
  <si>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</si>
  <si>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</si>
  <si>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</si>
  <si>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</si>
  <si>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</si>
  <si>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</si>
  <si>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</si>
  <si>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</si>
  <si>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</si>
  <si>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</si>
  <si>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</si>
  <si>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</si>
  <si>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</si>
  <si>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</si>
  <si>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</si>
  <si>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</si>
  <si>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</si>
  <si>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</si>
  <si>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</si>
  <si>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</si>
  <si>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</si>
  <si>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</si>
  <si>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</si>
  <si>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</si>
  <si>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</si>
  <si>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</si>
  <si>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</si>
  <si>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</si>
  <si>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</si>
  <si>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</si>
  <si>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</si>
  <si>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</si>
  <si>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</si>
  <si>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</si>
  <si>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</si>
  <si>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</si>
  <si>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</si>
  <si>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</si>
  <si>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</si>
  <si>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</si>
  <si>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</si>
  <si>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</si>
  <si>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</si>
  <si>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</si>
  <si>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</si>
  <si>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</si>
  <si>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</si>
  <si>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</si>
  <si>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</si>
  <si>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</si>
  <si>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</si>
  <si>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</si>
  <si>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</si>
  <si>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</si>
  <si>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</si>
  <si>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</si>
  <si>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</si>
  <si>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</si>
  <si>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</si>
  <si>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</si>
  <si>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</si>
  <si>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</si>
  <si>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</si>
  <si>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</si>
  <si>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</si>
  <si>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</si>
  <si>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</si>
  <si>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</si>
  <si>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</si>
  <si>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</si>
  <si>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</si>
  <si>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</si>
  <si>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</si>
  <si>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</si>
  <si>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</si>
  <si>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</si>
  <si>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</si>
  <si>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</si>
  <si>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</si>
  <si>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</si>
  <si>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</si>
  <si>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</si>
  <si>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</si>
  <si>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</si>
  <si>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</si>
  <si>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</si>
  <si>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</si>
  <si>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</si>
  <si>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</si>
  <si>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</si>
  <si>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</si>
  <si>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</si>
  <si>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</si>
  <si>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</si>
  <si>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</si>
  <si>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</si>
  <si>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</si>
  <si>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</si>
  <si>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</si>
  <si>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</si>
  <si>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</si>
  <si>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</si>
  <si>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</si>
  <si>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</si>
  <si>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</si>
  <si>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</si>
  <si>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</si>
  <si>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</si>
  <si>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</si>
  <si>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</si>
  <si>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</si>
  <si>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</si>
  <si>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</si>
  <si>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</si>
  <si>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</si>
  <si>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</si>
  <si>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</si>
  <si>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</si>
  <si>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</si>
  <si>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</si>
  <si>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</si>
  <si>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</si>
  <si>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</si>
  <si>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</si>
  <si>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</si>
  <si>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</si>
  <si>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</si>
  <si>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</si>
  <si>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</si>
  <si>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</si>
  <si>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</si>
  <si>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</si>
  <si>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</si>
  <si>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</si>
  <si>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</si>
  <si>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</si>
  <si>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</si>
  <si>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</si>
  <si>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</si>
  <si>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</si>
  <si>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</si>
  <si>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</si>
  <si>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</si>
  <si>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</si>
  <si>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</si>
  <si>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</si>
  <si>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</si>
  <si>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</si>
  <si>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</si>
  <si>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</si>
  <si>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</si>
  <si>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</si>
  <si>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</si>
  <si>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</si>
  <si>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</si>
  <si>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</si>
  <si>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</si>
  <si>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</si>
  <si>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</si>
  <si>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</si>
  <si>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</si>
  <si>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</si>
  <si>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</si>
  <si>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</si>
  <si>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</si>
  <si>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</si>
  <si>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</si>
  <si>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</si>
  <si>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</si>
  <si>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</si>
  <si>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</si>
  <si>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</si>
  <si>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</si>
  <si>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</si>
  <si>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</si>
  <si>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</si>
  <si>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</si>
  <si>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</si>
  <si>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</si>
  <si>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</si>
  <si>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</si>
  <si>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</si>
  <si>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</si>
  <si>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</si>
  <si>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</si>
  <si>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</si>
  <si>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</si>
  <si>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</si>
  <si>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</si>
  <si>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</si>
  <si>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</si>
  <si>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</si>
  <si>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</si>
  <si>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</si>
  <si>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</si>
  <si>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</si>
  <si>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</si>
  <si>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</si>
  <si>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</si>
  <si>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</si>
  <si>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</si>
  <si>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</si>
  <si>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</si>
  <si>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</si>
  <si>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</si>
  <si>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</si>
  <si>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</si>
  <si>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</si>
  <si>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</si>
  <si>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</si>
  <si>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</si>
  <si>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</si>
  <si>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</si>
  <si>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</si>
  <si>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</si>
  <si>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</si>
  <si>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</si>
  <si>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</si>
  <si>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</si>
  <si>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</si>
  <si>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</si>
  <si>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</si>
  <si>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</si>
  <si>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</si>
  <si>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</si>
  <si>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</si>
  <si>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</si>
  <si>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</si>
  <si>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</si>
  <si>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</si>
  <si>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</si>
  <si>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</si>
  <si>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</si>
  <si>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</si>
  <si>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</si>
  <si>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</si>
  <si>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</si>
  <si>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</si>
  <si>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</si>
  <si>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</si>
  <si>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</si>
  <si>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</si>
  <si>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</si>
  <si>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</si>
  <si>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</si>
  <si>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</si>
  <si>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</si>
  <si>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</si>
  <si>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</si>
  <si>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</si>
  <si>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</si>
  <si>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</si>
  <si>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</si>
  <si>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</si>
  <si>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</si>
  <si>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</si>
  <si>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</si>
  <si>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</si>
  <si>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</si>
  <si>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</si>
  <si>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</si>
  <si>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</si>
  <si>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</si>
  <si>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</si>
  <si>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</si>
  <si>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</si>
  <si>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</si>
  <si>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</si>
  <si>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</si>
  <si>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</si>
  <si>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</si>
  <si>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</si>
  <si>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</si>
  <si>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</si>
  <si>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</si>
  <si>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</si>
  <si>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</si>
  <si>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</si>
  <si>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</si>
  <si>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</si>
  <si>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</si>
  <si>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</si>
  <si>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</si>
  <si>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</si>
  <si>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</si>
  <si>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</si>
  <si>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</si>
  <si>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</si>
  <si>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</si>
  <si>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</si>
  <si>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</si>
  <si>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</si>
  <si>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</si>
  <si>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</si>
  <si>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</si>
  <si>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</si>
  <si>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</si>
  <si>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</si>
  <si>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</si>
  <si>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</si>
  <si>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</si>
  <si>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</si>
  <si>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</si>
  <si>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</si>
  <si>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</si>
  <si>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</si>
  <si>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</si>
  <si>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</si>
  <si>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</si>
  <si>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</si>
  <si>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</si>
  <si>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</si>
  <si>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</si>
  <si>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</si>
  <si>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</si>
  <si>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</si>
  <si>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</si>
  <si>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</si>
  <si>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</si>
  <si>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</si>
  <si>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</si>
  <si>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</si>
  <si>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</si>
  <si>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</si>
  <si>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</si>
  <si>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</si>
  <si>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</si>
  <si>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</si>
  <si>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</si>
  <si>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</si>
  <si>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</si>
  <si>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</si>
  <si>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</si>
  <si>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</si>
  <si>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</si>
  <si>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</si>
  <si>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</si>
  <si>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</si>
  <si>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</si>
  <si>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</si>
  <si>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</si>
  <si>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</si>
  <si>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</si>
  <si>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</si>
  <si>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</si>
  <si>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</si>
  <si>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</si>
  <si>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</si>
  <si>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</si>
  <si>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</si>
  <si>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</si>
  <si>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</si>
  <si>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</si>
  <si>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</si>
  <si>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</si>
  <si>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</si>
  <si>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</si>
  <si>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</si>
  <si>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</si>
  <si>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</si>
  <si>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</si>
  <si>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</si>
  <si>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</si>
  <si>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</si>
  <si>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</si>
  <si>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</si>
  <si>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</si>
  <si>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</si>
  <si>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</si>
  <si>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</si>
  <si>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</si>
  <si>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</si>
  <si>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</si>
  <si>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</si>
  <si>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</si>
  <si>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</si>
  <si>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</si>
  <si>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</si>
  <si>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</si>
  <si>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</si>
  <si>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</si>
  <si>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</si>
  <si>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</si>
  <si>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</si>
  <si>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</si>
  <si>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</si>
  <si>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</si>
  <si>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</si>
  <si>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</si>
  <si>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</si>
  <si>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</si>
  <si>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</si>
  <si>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</si>
  <si>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</si>
  <si>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</si>
  <si>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</si>
  <si>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</si>
  <si>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</si>
  <si>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</si>
  <si>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</si>
  <si>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</si>
  <si>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</si>
  <si>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</si>
  <si>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</si>
  <si>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</si>
  <si>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</si>
  <si>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</si>
  <si>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</si>
  <si>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</si>
  <si>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</si>
  <si>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</si>
  <si>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</si>
  <si>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</si>
  <si>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</si>
  <si>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</si>
  <si>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</si>
  <si>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</si>
  <si>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</si>
  <si>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</si>
  <si>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</si>
  <si>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</si>
  <si>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</si>
  <si>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</si>
  <si>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</si>
  <si>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</si>
  <si>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</si>
  <si>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</si>
  <si>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</si>
  <si>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</si>
  <si>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</si>
  <si>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</si>
  <si>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</si>
  <si>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</si>
  <si>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</si>
  <si>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</si>
  <si>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</si>
  <si>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</si>
  <si>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</si>
  <si>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</si>
  <si>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</si>
  <si>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</si>
  <si>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</si>
  <si>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</si>
  <si>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</si>
  <si>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</si>
  <si>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</si>
  <si>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</si>
  <si>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</si>
  <si>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</si>
  <si>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</si>
  <si>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</si>
  <si>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</si>
  <si>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</si>
  <si>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</si>
  <si>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</si>
  <si>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</si>
  <si>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</si>
  <si>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</si>
  <si>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</si>
  <si>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</si>
  <si>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</si>
  <si>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</si>
  <si>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</si>
  <si>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</si>
  <si>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</si>
  <si>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</si>
  <si>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</si>
  <si>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</si>
  <si>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</si>
  <si>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</si>
  <si>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</si>
  <si>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</si>
  <si>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</si>
  <si>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</si>
  <si>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</si>
  <si>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</si>
  <si>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</si>
  <si>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</si>
  <si>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</si>
  <si>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</si>
  <si>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</si>
  <si>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</si>
  <si>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</si>
  <si>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</si>
  <si>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</si>
  <si>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</si>
  <si>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</si>
  <si>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</si>
  <si>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</si>
  <si>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</si>
  <si>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</si>
  <si>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</si>
  <si>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</si>
  <si>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</si>
  <si>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</si>
  <si>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</si>
  <si>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</si>
  <si>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</si>
  <si>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</si>
  <si>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</si>
  <si>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</si>
  <si>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</si>
  <si>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</si>
  <si>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</si>
  <si>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</si>
  <si>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</si>
  <si>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</si>
  <si>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</si>
  <si>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</si>
  <si>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</si>
  <si>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</si>
  <si>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</si>
  <si>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</si>
  <si>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</si>
  <si>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</si>
  <si>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</si>
  <si>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</si>
  <si>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</si>
  <si>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</si>
  <si>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</si>
  <si>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</si>
  <si>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</si>
  <si>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</si>
  <si>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</si>
  <si>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</si>
  <si>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</si>
  <si>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</si>
  <si>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</si>
  <si>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</si>
  <si>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</si>
  <si>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</si>
  <si>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</si>
  <si>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</si>
  <si>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</si>
  <si>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</si>
  <si>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</si>
  <si>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</si>
  <si>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</si>
  <si>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</si>
  <si>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</si>
  <si>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</si>
  <si>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</si>
  <si>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</si>
  <si>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</si>
  <si>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</si>
  <si>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</si>
  <si>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</si>
  <si>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</si>
  <si>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</si>
  <si>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</si>
  <si>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</si>
  <si>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</si>
  <si>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</si>
  <si>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</si>
  <si>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</si>
  <si>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</si>
  <si>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</si>
  <si>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</si>
  <si>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</si>
  <si>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</si>
  <si>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</si>
  <si>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</si>
  <si>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</si>
  <si>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</si>
  <si>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</si>
  <si>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</si>
  <si>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</si>
  <si>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</si>
  <si>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</si>
  <si>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</si>
  <si>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</si>
  <si>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</si>
  <si>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</si>
  <si>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</si>
  <si>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</si>
  <si>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</si>
  <si>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</si>
  <si>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</si>
  <si>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</si>
  <si>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</si>
  <si>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</si>
  <si>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</si>
  <si>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</si>
  <si>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</si>
  <si>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</si>
  <si>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</si>
  <si>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</si>
  <si>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</si>
  <si>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</si>
  <si>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</si>
  <si>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</si>
  <si>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</si>
  <si>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</si>
  <si>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</si>
  <si>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</si>
  <si>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</si>
  <si>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</si>
  <si>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</si>
  <si>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</si>
  <si>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</si>
  <si>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</si>
  <si>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</si>
  <si>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</si>
  <si>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</si>
  <si>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</si>
  <si>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</si>
  <si>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</si>
  <si>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</si>
  <si>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</si>
  <si>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</si>
  <si>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</si>
  <si>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</si>
  <si>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</si>
  <si>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</si>
  <si>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</si>
  <si>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</si>
  <si>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</si>
  <si>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</si>
  <si>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</si>
  <si>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</si>
  <si>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</si>
  <si>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</si>
  <si>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</si>
  <si>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</si>
  <si>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</si>
  <si>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</si>
  <si>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</si>
  <si>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</si>
  <si>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</si>
  <si>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</si>
  <si>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</si>
  <si>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</si>
  <si>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</si>
  <si>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</si>
  <si>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</si>
  <si>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</si>
  <si>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</si>
  <si>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</si>
  <si>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</si>
  <si>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</si>
  <si>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</si>
  <si>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</si>
  <si>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</si>
  <si>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</si>
  <si>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</si>
  <si>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</si>
  <si>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</si>
  <si>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</si>
  <si>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</si>
  <si>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</si>
  <si>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</si>
  <si>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</si>
  <si>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</si>
  <si>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</si>
  <si>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</si>
  <si>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</si>
  <si>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</si>
  <si>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</si>
  <si>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</si>
  <si>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</si>
  <si>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</si>
  <si>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</si>
  <si>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</si>
  <si>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</si>
  <si>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</si>
  <si>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</si>
  <si>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</si>
  <si>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</si>
  <si>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</si>
  <si>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</si>
  <si>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</si>
  <si>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</si>
  <si>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</si>
  <si>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</si>
  <si>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</si>
  <si>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</si>
  <si>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</si>
  <si>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</si>
  <si>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</si>
  <si>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</si>
  <si>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</si>
  <si>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</si>
  <si>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</si>
  <si>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</si>
  <si>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</si>
  <si>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</si>
  <si>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</si>
  <si>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</si>
  <si>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</si>
  <si>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</si>
  <si>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</si>
  <si>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</si>
  <si>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</si>
  <si>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</si>
  <si>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</si>
  <si>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</si>
  <si>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</si>
  <si>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</si>
  <si>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</si>
  <si>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</si>
  <si>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</si>
  <si>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</si>
  <si>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</si>
  <si>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</si>
  <si>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</si>
  <si>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</si>
  <si>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</si>
  <si>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</si>
  <si>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</si>
  <si>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</si>
  <si>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</si>
  <si>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</si>
  <si>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</si>
  <si>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</si>
  <si>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</si>
  <si>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</si>
  <si>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</si>
  <si>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</si>
  <si>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</si>
  <si>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</si>
  <si>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</si>
  <si>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</si>
  <si>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</si>
  <si>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</si>
  <si>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</si>
  <si>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</si>
  <si>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</si>
  <si>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</si>
  <si>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</si>
  <si>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</si>
  <si>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</si>
  <si>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</si>
  <si>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</si>
  <si>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</si>
  <si>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</si>
  <si>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</si>
  <si>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</si>
  <si>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</si>
  <si>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</si>
  <si>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</si>
  <si>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</si>
  <si>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</si>
  <si>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</si>
  <si>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</si>
  <si>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</si>
  <si>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</si>
  <si>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</si>
  <si>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</si>
  <si>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</si>
  <si>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</si>
  <si>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</si>
  <si>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</si>
  <si>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</si>
  <si>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</si>
  <si>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</si>
  <si>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</si>
  <si>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</si>
  <si>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</si>
  <si>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</si>
  <si>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</si>
  <si>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</si>
  <si>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</si>
  <si>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</si>
  <si>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</si>
  <si>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</si>
  <si>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</si>
  <si>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</si>
  <si>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</si>
  <si>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</si>
  <si>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</si>
  <si>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</si>
  <si>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</si>
  <si>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</si>
  <si>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</si>
  <si>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</si>
  <si>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</si>
  <si>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</si>
  <si>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</si>
  <si>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</si>
  <si>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</si>
  <si>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</si>
  <si>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</si>
  <si>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</si>
  <si>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</si>
  <si>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</si>
  <si>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</si>
  <si>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</si>
  <si>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</si>
  <si>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</si>
  <si>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</si>
  <si>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</si>
  <si>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</si>
  <si>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</si>
  <si>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</si>
  <si>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</si>
  <si>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</si>
  <si>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</si>
  <si>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</si>
  <si>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</si>
  <si>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</si>
  <si>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</si>
  <si>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</si>
  <si>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</si>
  <si>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</si>
  <si>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</si>
  <si>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</si>
  <si>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</si>
  <si>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</si>
  <si>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</si>
  <si>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</si>
  <si>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</si>
  <si>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</si>
  <si>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</si>
  <si>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</si>
  <si>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</si>
  <si>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</si>
  <si>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</si>
  <si>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</si>
  <si>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</si>
  <si>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</si>
  <si>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</si>
  <si>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</si>
  <si>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</si>
  <si>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</si>
  <si>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</si>
  <si>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</si>
  <si>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</si>
  <si>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</si>
  <si>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</si>
  <si>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</si>
  <si>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</si>
  <si>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</si>
  <si>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</si>
  <si>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</si>
  <si>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</si>
  <si>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</si>
  <si>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</si>
  <si>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</si>
  <si>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</si>
  <si>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</si>
  <si>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</si>
  <si>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</si>
  <si>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</si>
  <si>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</si>
  <si>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</si>
  <si>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</si>
  <si>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</si>
  <si>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</si>
  <si>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</si>
  <si>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</si>
  <si>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</si>
  <si>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</si>
  <si>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</si>
  <si>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</si>
  <si>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</si>
  <si>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</si>
  <si>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</si>
  <si>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</si>
  <si>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</si>
  <si>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</si>
  <si>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</si>
  <si>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</si>
  <si>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</si>
  <si>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</si>
  <si>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</si>
  <si>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</si>
  <si>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</si>
  <si>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</si>
  <si>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</si>
  <si>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</si>
  <si>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</si>
  <si>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</si>
  <si>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</si>
  <si>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</si>
  <si>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</si>
  <si>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</si>
  <si>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</si>
  <si>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</si>
  <si>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</si>
  <si>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</si>
  <si>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</si>
  <si>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</si>
  <si>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</si>
  <si>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</si>
  <si>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</si>
  <si>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</si>
  <si>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</si>
  <si>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</si>
  <si>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</si>
  <si>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</si>
  <si>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</si>
  <si>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</si>
  <si>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</si>
  <si>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</si>
  <si>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</si>
  <si>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</si>
  <si>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</si>
  <si>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</si>
  <si>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</si>
  <si>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</si>
  <si>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</si>
  <si>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</si>
  <si>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</si>
  <si>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</si>
  <si>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</si>
  <si>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</si>
  <si>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</si>
  <si>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</si>
  <si>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</si>
  <si>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</si>
  <si>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</si>
  <si>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</si>
  <si>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</si>
  <si>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</si>
  <si>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</si>
  <si>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</si>
  <si>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</si>
  <si>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</si>
  <si>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</si>
  <si>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</si>
  <si>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</si>
  <si>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</si>
  <si>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</si>
  <si>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</si>
  <si>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</si>
  <si>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</si>
  <si>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</si>
  <si>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</si>
  <si>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</si>
  <si>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</si>
  <si>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</si>
  <si>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</si>
  <si>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</si>
  <si>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</si>
  <si>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</si>
  <si>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</si>
  <si>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</si>
  <si>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</si>
  <si>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</si>
  <si>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</si>
  <si>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</si>
  <si>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</si>
  <si>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</si>
  <si>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</si>
  <si>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</si>
  <si>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</si>
  <si>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</si>
  <si>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</si>
  <si>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</si>
  <si>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</si>
  <si>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</si>
  <si>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</si>
  <si>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</si>
  <si>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</si>
  <si>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</si>
  <si>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</si>
  <si>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</si>
  <si>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</si>
  <si>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</si>
  <si>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</si>
  <si>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</si>
  <si>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</si>
  <si>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</si>
  <si>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</si>
  <si>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</si>
  <si>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</si>
  <si>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</si>
  <si>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</si>
  <si>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</si>
  <si>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</si>
  <si>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</si>
  <si>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</si>
  <si>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</si>
  <si>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</si>
  <si>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</si>
  <si>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</si>
  <si>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</si>
  <si>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</si>
  <si>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</si>
  <si>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</si>
  <si>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</si>
  <si>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</si>
  <si>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</si>
  <si>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</si>
  <si>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</si>
  <si>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</si>
  <si>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</si>
  <si>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</si>
  <si>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</si>
  <si>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</si>
  <si>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</si>
  <si>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</si>
  <si>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</si>
  <si>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</si>
  <si>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</si>
  <si>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</si>
  <si>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</si>
  <si>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</si>
  <si>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</si>
  <si>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</si>
  <si>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</si>
  <si>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</si>
  <si>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</si>
  <si>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</si>
  <si>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</si>
  <si>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</si>
  <si>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</si>
  <si>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</si>
  <si>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</si>
  <si>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</si>
  <si>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</si>
  <si>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</si>
  <si>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</si>
  <si>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</si>
  <si>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</si>
  <si>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</si>
  <si>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</si>
  <si>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</si>
  <si>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</si>
  <si>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</si>
  <si>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</si>
  <si>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</si>
  <si>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</si>
  <si>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</si>
  <si>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</si>
  <si>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</si>
  <si>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</si>
  <si>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</si>
  <si>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</si>
  <si>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</si>
  <si>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</si>
  <si>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</si>
  <si>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</si>
  <si>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</si>
  <si>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Sinclair &amp;Rush Ltd</t>
  </si>
  <si>
    <t>11-13 Spectrum West, 20/20 Maidstone Business Estate, Maidstone, ME16 0LL</t>
  </si>
  <si>
    <t>Mark Osborn</t>
  </si>
  <si>
    <t>mosborn@sinclair-rush.co.uk</t>
  </si>
  <si>
    <t>+44 (0) 1622 620229</t>
  </si>
  <si>
    <t>Production Manager</t>
  </si>
  <si>
    <t>http://www.sinclair-rush.co.uk/media/3223/conflict-minerals-declaration-policy.pdf</t>
  </si>
  <si>
    <t>It is not necessary to receive from our suppliers completed Conflict Minerals Reporting Template, as no such Conflict Mineral is used in our production process nor our products.</t>
  </si>
  <si>
    <t>We do not need to identify smelters as there are no products that are used within our scope indicated above.</t>
  </si>
  <si>
    <t>We are not subject to the Security Exchange commission Conflict Minerals Disclosure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</si>
</sst>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9" fillId="0" borderId="0"/>
    <xf numFmtId="0" fontId="89"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9"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8" fontId="2" fillId="0" borderId="0"/>
    <xf numFmtId="168"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48">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7"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6"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8"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0"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1"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1"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1"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2"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3" fillId="0" borderId="0" xfId="0" applyFont="1"/>
    <xf numFmtId="168" fontId="53" fillId="0" borderId="0" xfId="480" applyFont="1" applyFill="1" applyAlignment="1" applyProtection="1">
      <alignment horizontal="left" vertical="top" wrapText="1"/>
      <protection hidden="1"/>
    </xf>
    <xf numFmtId="0" fontId="94"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5" fillId="33" borderId="61"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8" fillId="33" borderId="61" xfId="487" applyNumberFormat="1" applyFill="1" applyBorder="1" applyAlignment="1" applyProtection="1">
      <alignment horizontal="left" vertical="center" wrapText="1"/>
      <protection locked="0"/>
    </xf>
    <xf numFmtId="49" fontId="96" fillId="33" borderId="10" xfId="0" applyNumberFormat="1" applyFont="1" applyFill="1" applyBorder="1" applyAlignment="1" applyProtection="1">
      <alignment horizontal="left" vertical="center" wrapText="1"/>
      <protection locked="0"/>
    </xf>
    <xf numFmtId="49" fontId="96" fillId="33" borderId="37" xfId="0" applyNumberFormat="1" applyFont="1" applyFill="1" applyBorder="1" applyAlignment="1" applyProtection="1">
      <alignment horizontal="left" vertical="center" wrapText="1"/>
      <protection locked="0"/>
    </xf>
    <xf numFmtId="0" fontId="8" fillId="33" borderId="61" xfId="487"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1">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osborn@sinclair-rush.co.uk"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inclair-rush.co.uk/media/3223/conflict-minerals-declaration-policy.pdf" TargetMode="External"/><Relationship Id="rId4" Type="http://schemas.openxmlformats.org/officeDocument/2006/relationships/hyperlink" Target="mailto:mosborn@sinclair-rush.co.uk"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8164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81640625" style="113" customWidth="1"/>
    <col min="8" max="16384" width="9" style="113"/>
  </cols>
  <sheetData>
    <row r="1" spans="1:7" ht="13.2" thickTop="1">
      <c r="A1" s="9"/>
      <c r="B1" s="10"/>
      <c r="C1" s="10"/>
      <c r="D1" s="207"/>
      <c r="E1" s="10"/>
      <c r="F1" s="10"/>
      <c r="G1" s="11"/>
    </row>
    <row r="2" spans="1:7">
      <c r="A2" s="348"/>
      <c r="B2" s="38" t="s">
        <v>870</v>
      </c>
      <c r="C2" s="36"/>
      <c r="D2" s="208"/>
      <c r="E2" s="3"/>
      <c r="F2" s="36"/>
      <c r="G2" s="34"/>
    </row>
    <row r="3" spans="1:7">
      <c r="A3" s="348"/>
      <c r="B3" s="5" t="s">
        <v>862</v>
      </c>
      <c r="C3" s="6"/>
      <c r="D3" s="209"/>
      <c r="E3" s="3"/>
      <c r="F3" s="6"/>
      <c r="G3" s="34"/>
    </row>
    <row r="4" spans="1:7" ht="15">
      <c r="A4" s="348"/>
      <c r="B4" s="41" t="s">
        <v>872</v>
      </c>
      <c r="C4" s="7"/>
      <c r="D4" s="210"/>
      <c r="E4" s="3"/>
      <c r="F4" s="7"/>
      <c r="G4" s="34"/>
    </row>
    <row r="5" spans="1:7" ht="13.2">
      <c r="A5" s="348"/>
      <c r="B5" s="40" t="s">
        <v>1063</v>
      </c>
      <c r="C5" s="4"/>
      <c r="D5" s="211"/>
      <c r="E5" s="3"/>
      <c r="F5" s="4"/>
      <c r="G5" s="34"/>
    </row>
    <row r="6" spans="1:7">
      <c r="A6" s="348"/>
      <c r="B6" s="8"/>
      <c r="C6" s="8"/>
      <c r="D6" s="212"/>
      <c r="E6" s="8"/>
      <c r="F6" s="8"/>
      <c r="G6" s="34"/>
    </row>
    <row r="7" spans="1:7">
      <c r="A7" s="348"/>
      <c r="B7" s="8"/>
      <c r="C7" s="8"/>
      <c r="D7" s="212"/>
      <c r="E7" s="8"/>
      <c r="F7" s="8"/>
      <c r="G7" s="34"/>
    </row>
    <row r="8" spans="1:7">
      <c r="A8" s="348"/>
      <c r="B8" s="8"/>
      <c r="C8" s="8"/>
      <c r="D8" s="212"/>
      <c r="E8" s="8"/>
      <c r="F8" s="8"/>
      <c r="G8" s="34"/>
    </row>
    <row r="9" spans="1:7">
      <c r="A9" s="348"/>
      <c r="B9" s="351" t="s">
        <v>873</v>
      </c>
      <c r="C9" s="351"/>
      <c r="D9" s="351"/>
      <c r="E9" s="351"/>
      <c r="F9" s="351"/>
      <c r="G9" s="34"/>
    </row>
    <row r="10" spans="1:7" ht="27" customHeight="1">
      <c r="A10" s="348"/>
      <c r="B10" s="352" t="s">
        <v>448</v>
      </c>
      <c r="C10" s="352"/>
      <c r="D10" s="352"/>
      <c r="E10" s="352"/>
      <c r="F10" s="352"/>
      <c r="G10" s="34"/>
    </row>
    <row r="11" spans="1:7" ht="27" customHeight="1">
      <c r="A11" s="348"/>
      <c r="B11" s="353"/>
      <c r="C11" s="353"/>
      <c r="D11" s="353"/>
      <c r="E11" s="353"/>
      <c r="F11" s="353"/>
      <c r="G11" s="34"/>
    </row>
    <row r="12" spans="1:7">
      <c r="A12" s="348"/>
      <c r="B12" s="42" t="s">
        <v>871</v>
      </c>
      <c r="C12" s="43" t="s">
        <v>874</v>
      </c>
      <c r="D12" s="213" t="s">
        <v>875</v>
      </c>
      <c r="E12" s="43" t="s">
        <v>628</v>
      </c>
      <c r="F12" s="43" t="s">
        <v>629</v>
      </c>
      <c r="G12" s="34"/>
    </row>
    <row r="13" spans="1:7" ht="20.399999999999999">
      <c r="A13" s="348"/>
      <c r="B13" s="2">
        <v>1</v>
      </c>
      <c r="C13" s="37" t="s">
        <v>1111</v>
      </c>
      <c r="D13" s="39" t="s">
        <v>899</v>
      </c>
      <c r="E13" s="196" t="s">
        <v>876</v>
      </c>
      <c r="F13" s="196"/>
      <c r="G13" s="34"/>
    </row>
    <row r="14" spans="1:7" ht="30.6">
      <c r="A14" s="348"/>
      <c r="B14" s="2">
        <v>2</v>
      </c>
      <c r="C14" s="37" t="s">
        <v>1111</v>
      </c>
      <c r="D14" s="39" t="s">
        <v>1048</v>
      </c>
      <c r="E14" s="196" t="s">
        <v>540</v>
      </c>
      <c r="F14" s="196" t="s">
        <v>541</v>
      </c>
      <c r="G14" s="34"/>
    </row>
    <row r="15" spans="1:7" ht="89.1" customHeight="1">
      <c r="A15" s="348"/>
      <c r="B15" s="354">
        <v>2.0099999999999998</v>
      </c>
      <c r="C15" s="357" t="s">
        <v>1111</v>
      </c>
      <c r="D15" s="360" t="s">
        <v>2358</v>
      </c>
      <c r="E15" s="197" t="s">
        <v>630</v>
      </c>
      <c r="F15" s="197" t="s">
        <v>633</v>
      </c>
      <c r="G15" s="34"/>
    </row>
    <row r="16" spans="1:7" ht="99" customHeight="1">
      <c r="A16" s="348"/>
      <c r="B16" s="355"/>
      <c r="C16" s="358"/>
      <c r="D16" s="361"/>
      <c r="E16" s="198"/>
      <c r="F16" s="198" t="s">
        <v>631</v>
      </c>
      <c r="G16" s="34"/>
    </row>
    <row r="17" spans="1:7" ht="63" customHeight="1">
      <c r="A17" s="348"/>
      <c r="B17" s="356"/>
      <c r="C17" s="359"/>
      <c r="D17" s="362"/>
      <c r="E17" s="37"/>
      <c r="F17" s="37" t="s">
        <v>632</v>
      </c>
      <c r="G17" s="34"/>
    </row>
    <row r="18" spans="1:7" ht="117" customHeight="1">
      <c r="A18" s="348"/>
      <c r="B18" s="354">
        <v>2.02</v>
      </c>
      <c r="C18" s="357" t="s">
        <v>1111</v>
      </c>
      <c r="D18" s="360" t="s">
        <v>2359</v>
      </c>
      <c r="E18" s="197" t="s">
        <v>449</v>
      </c>
      <c r="F18" s="197" t="s">
        <v>535</v>
      </c>
      <c r="G18" s="34"/>
    </row>
    <row r="19" spans="1:7" ht="71.099999999999994" customHeight="1">
      <c r="A19" s="348"/>
      <c r="B19" s="355"/>
      <c r="C19" s="358"/>
      <c r="D19" s="361"/>
      <c r="E19" s="198" t="s">
        <v>539</v>
      </c>
      <c r="F19" s="198" t="s">
        <v>450</v>
      </c>
      <c r="G19" s="34"/>
    </row>
    <row r="20" spans="1:7" ht="90.75" customHeight="1">
      <c r="A20" s="348"/>
      <c r="B20" s="355"/>
      <c r="C20" s="358"/>
      <c r="D20" s="361"/>
      <c r="E20" s="198"/>
      <c r="F20" s="198" t="s">
        <v>635</v>
      </c>
      <c r="G20" s="34"/>
    </row>
    <row r="21" spans="1:7" ht="74.25" customHeight="1">
      <c r="A21" s="348"/>
      <c r="B21" s="356"/>
      <c r="C21" s="359"/>
      <c r="D21" s="362"/>
      <c r="E21" s="37"/>
      <c r="F21" s="37" t="s">
        <v>634</v>
      </c>
      <c r="G21" s="34"/>
    </row>
    <row r="22" spans="1:7" ht="90" customHeight="1">
      <c r="A22" s="348"/>
      <c r="B22" s="366">
        <v>2.0299999999999998</v>
      </c>
      <c r="C22" s="366" t="s">
        <v>845</v>
      </c>
      <c r="D22" s="369" t="s">
        <v>2360</v>
      </c>
      <c r="E22" s="357" t="s">
        <v>447</v>
      </c>
      <c r="F22" s="197" t="s">
        <v>470</v>
      </c>
      <c r="G22" s="34"/>
    </row>
    <row r="23" spans="1:7" ht="109.5" customHeight="1">
      <c r="A23" s="348"/>
      <c r="B23" s="367"/>
      <c r="C23" s="367"/>
      <c r="D23" s="370"/>
      <c r="E23" s="358"/>
      <c r="F23" s="198" t="s">
        <v>846</v>
      </c>
      <c r="G23" s="34"/>
    </row>
    <row r="24" spans="1:7" ht="74.25" customHeight="1">
      <c r="A24" s="348"/>
      <c r="B24" s="368"/>
      <c r="C24" s="368"/>
      <c r="D24" s="371"/>
      <c r="E24" s="359"/>
      <c r="F24" s="37" t="s">
        <v>446</v>
      </c>
      <c r="G24" s="34"/>
    </row>
    <row r="25" spans="1:7" ht="72" customHeight="1">
      <c r="A25" s="348"/>
      <c r="B25" s="2" t="s">
        <v>468</v>
      </c>
      <c r="C25" s="37" t="s">
        <v>469</v>
      </c>
      <c r="D25" s="39" t="s">
        <v>2361</v>
      </c>
      <c r="E25" s="37" t="s">
        <v>2356</v>
      </c>
      <c r="F25" s="37" t="s">
        <v>471</v>
      </c>
      <c r="G25" s="34"/>
    </row>
    <row r="26" spans="1:7" ht="98.1" customHeight="1">
      <c r="A26" s="348"/>
      <c r="B26" s="363">
        <v>3</v>
      </c>
      <c r="C26" s="354" t="s">
        <v>72</v>
      </c>
      <c r="D26" s="360" t="s">
        <v>2362</v>
      </c>
      <c r="E26" s="357" t="s">
        <v>0</v>
      </c>
      <c r="F26" s="197" t="s">
        <v>66</v>
      </c>
      <c r="G26" s="34"/>
    </row>
    <row r="27" spans="1:7" ht="90" customHeight="1">
      <c r="A27" s="348"/>
      <c r="B27" s="364"/>
      <c r="C27" s="355"/>
      <c r="D27" s="361"/>
      <c r="E27" s="358"/>
      <c r="F27" s="198" t="s">
        <v>61</v>
      </c>
      <c r="G27" s="34"/>
    </row>
    <row r="28" spans="1:7" ht="19.350000000000001" customHeight="1">
      <c r="A28" s="348"/>
      <c r="B28" s="364"/>
      <c r="C28" s="355"/>
      <c r="D28" s="361"/>
      <c r="E28" s="358"/>
      <c r="F28" s="198" t="s">
        <v>62</v>
      </c>
      <c r="G28" s="34"/>
    </row>
    <row r="29" spans="1:7" ht="74.55" customHeight="1">
      <c r="A29" s="348"/>
      <c r="B29" s="364"/>
      <c r="C29" s="355"/>
      <c r="D29" s="361"/>
      <c r="E29" s="358"/>
      <c r="F29" s="198" t="s">
        <v>63</v>
      </c>
      <c r="G29" s="34"/>
    </row>
    <row r="30" spans="1:7" ht="62.55" customHeight="1">
      <c r="A30" s="348"/>
      <c r="B30" s="364"/>
      <c r="C30" s="355"/>
      <c r="D30" s="361"/>
      <c r="E30" s="358"/>
      <c r="F30" s="198" t="s">
        <v>64</v>
      </c>
      <c r="G30" s="34"/>
    </row>
    <row r="31" spans="1:7" ht="81" customHeight="1">
      <c r="A31" s="348"/>
      <c r="B31" s="364"/>
      <c r="C31" s="355"/>
      <c r="D31" s="361"/>
      <c r="E31" s="358"/>
      <c r="F31" s="198" t="s">
        <v>65</v>
      </c>
      <c r="G31" s="34"/>
    </row>
    <row r="32" spans="1:7" ht="48.75" customHeight="1">
      <c r="A32" s="348"/>
      <c r="B32" s="364"/>
      <c r="C32" s="355"/>
      <c r="D32" s="361"/>
      <c r="E32" s="358"/>
      <c r="F32" s="198" t="s">
        <v>68</v>
      </c>
      <c r="G32" s="34"/>
    </row>
    <row r="33" spans="1:7" ht="98.55" customHeight="1">
      <c r="A33" s="348"/>
      <c r="B33" s="364"/>
      <c r="C33" s="355"/>
      <c r="D33" s="361"/>
      <c r="E33" s="358"/>
      <c r="F33" s="198" t="s">
        <v>67</v>
      </c>
      <c r="G33" s="34"/>
    </row>
    <row r="34" spans="1:7" ht="89.1" customHeight="1">
      <c r="A34" s="348"/>
      <c r="B34" s="364"/>
      <c r="C34" s="355"/>
      <c r="D34" s="361"/>
      <c r="E34" s="358"/>
      <c r="F34" s="198" t="s">
        <v>69</v>
      </c>
      <c r="G34" s="34"/>
    </row>
    <row r="35" spans="1:7" ht="29.1" customHeight="1">
      <c r="A35" s="348"/>
      <c r="B35" s="364"/>
      <c r="C35" s="355"/>
      <c r="D35" s="361"/>
      <c r="E35" s="358"/>
      <c r="F35" s="198" t="s">
        <v>70</v>
      </c>
      <c r="G35" s="34"/>
    </row>
    <row r="36" spans="1:7" ht="112.2">
      <c r="A36" s="348"/>
      <c r="B36" s="365"/>
      <c r="C36" s="356"/>
      <c r="D36" s="362"/>
      <c r="E36" s="359"/>
      <c r="F36" s="199" t="s">
        <v>71</v>
      </c>
      <c r="G36" s="34"/>
    </row>
    <row r="37" spans="1:7" ht="102">
      <c r="A37" s="348"/>
      <c r="B37" s="171">
        <v>3.01</v>
      </c>
      <c r="C37" s="172" t="s">
        <v>72</v>
      </c>
      <c r="D37" s="39" t="s">
        <v>2363</v>
      </c>
      <c r="E37" s="200" t="s">
        <v>1351</v>
      </c>
      <c r="F37" s="201" t="s">
        <v>1457</v>
      </c>
      <c r="G37" s="34"/>
    </row>
    <row r="38" spans="1:7" ht="81.599999999999994">
      <c r="A38" s="348"/>
      <c r="B38" s="171">
        <v>3.02</v>
      </c>
      <c r="C38" s="172" t="s">
        <v>1384</v>
      </c>
      <c r="D38" s="39" t="s">
        <v>2364</v>
      </c>
      <c r="E38" s="200" t="s">
        <v>1399</v>
      </c>
      <c r="F38" s="201" t="s">
        <v>1458</v>
      </c>
      <c r="G38" s="34"/>
    </row>
    <row r="39" spans="1:7" ht="81.599999999999994">
      <c r="A39" s="348"/>
      <c r="B39" s="182">
        <v>4</v>
      </c>
      <c r="C39" s="181" t="s">
        <v>1554</v>
      </c>
      <c r="D39" s="39" t="s">
        <v>2365</v>
      </c>
      <c r="E39" s="37" t="s">
        <v>2307</v>
      </c>
      <c r="F39" s="37" t="s">
        <v>1555</v>
      </c>
      <c r="G39" s="34"/>
    </row>
    <row r="40" spans="1:7" ht="40.799999999999997">
      <c r="A40" s="348"/>
      <c r="B40" s="171">
        <v>4.01</v>
      </c>
      <c r="C40" s="181" t="s">
        <v>1554</v>
      </c>
      <c r="D40" s="39" t="s">
        <v>2367</v>
      </c>
      <c r="E40" s="37" t="s">
        <v>2321</v>
      </c>
      <c r="F40" s="37" t="s">
        <v>2326</v>
      </c>
      <c r="G40" s="34"/>
    </row>
    <row r="41" spans="1:7" ht="40.799999999999997">
      <c r="A41" s="348"/>
      <c r="B41" s="171" t="s">
        <v>2354</v>
      </c>
      <c r="C41" s="181" t="s">
        <v>1554</v>
      </c>
      <c r="D41" s="39" t="s">
        <v>2366</v>
      </c>
      <c r="E41" s="37" t="s">
        <v>2357</v>
      </c>
      <c r="F41" s="37" t="s">
        <v>2355</v>
      </c>
      <c r="G41" s="34"/>
    </row>
    <row r="42" spans="1:7" ht="40.799999999999997">
      <c r="A42" s="348"/>
      <c r="B42" s="171" t="s">
        <v>2399</v>
      </c>
      <c r="C42" s="181" t="s">
        <v>1554</v>
      </c>
      <c r="D42" s="39" t="s">
        <v>2406</v>
      </c>
      <c r="E42" s="37" t="s">
        <v>2356</v>
      </c>
      <c r="F42" s="37" t="s">
        <v>2400</v>
      </c>
      <c r="G42" s="34"/>
    </row>
    <row r="43" spans="1:7" ht="112.2">
      <c r="A43" s="348"/>
      <c r="B43" s="193">
        <v>4.0999999999999996</v>
      </c>
      <c r="C43" s="181" t="s">
        <v>2405</v>
      </c>
      <c r="D43" s="194">
        <v>42867</v>
      </c>
      <c r="E43" s="202" t="s">
        <v>2408</v>
      </c>
      <c r="F43" s="37" t="s">
        <v>2407</v>
      </c>
      <c r="G43" s="34"/>
    </row>
    <row r="44" spans="1:7" ht="71.400000000000006">
      <c r="A44" s="348"/>
      <c r="B44" s="193">
        <v>4.2</v>
      </c>
      <c r="C44" s="181" t="s">
        <v>2405</v>
      </c>
      <c r="D44" s="194">
        <v>42704</v>
      </c>
      <c r="E44" s="202" t="s">
        <v>2625</v>
      </c>
      <c r="F44" s="37" t="s">
        <v>2598</v>
      </c>
      <c r="G44" s="34"/>
    </row>
    <row r="45" spans="1:7" ht="132.6">
      <c r="A45" s="348"/>
      <c r="B45" s="243">
        <v>5</v>
      </c>
      <c r="C45" s="181" t="s">
        <v>2405</v>
      </c>
      <c r="D45" s="194">
        <v>42867</v>
      </c>
      <c r="E45" s="202" t="s">
        <v>13032</v>
      </c>
      <c r="F45" s="37" t="s">
        <v>12754</v>
      </c>
      <c r="G45" s="34"/>
    </row>
    <row r="46" spans="1:7" ht="30.6">
      <c r="A46" s="348"/>
      <c r="B46" s="193">
        <v>5.01</v>
      </c>
      <c r="C46" s="181" t="s">
        <v>2405</v>
      </c>
      <c r="D46" s="194">
        <v>42907</v>
      </c>
      <c r="E46" s="202" t="s">
        <v>13052</v>
      </c>
      <c r="F46" s="37" t="s">
        <v>12754</v>
      </c>
      <c r="G46" s="34"/>
    </row>
    <row r="47" spans="1:7" ht="61.2">
      <c r="A47" s="348"/>
      <c r="B47" s="193">
        <v>5.0999999999999996</v>
      </c>
      <c r="C47" s="181" t="s">
        <v>2405</v>
      </c>
      <c r="D47" s="194">
        <v>43070</v>
      </c>
      <c r="E47" s="202" t="s">
        <v>13247</v>
      </c>
      <c r="F47" s="37" t="s">
        <v>13248</v>
      </c>
      <c r="G47" s="34"/>
    </row>
    <row r="48" spans="1:7" ht="51">
      <c r="A48" s="348"/>
      <c r="B48" s="193">
        <v>5.1100000000000003</v>
      </c>
      <c r="C48" s="181" t="s">
        <v>13489</v>
      </c>
      <c r="D48" s="194">
        <v>43217</v>
      </c>
      <c r="E48" s="202" t="s">
        <v>13617</v>
      </c>
      <c r="F48" s="37" t="s">
        <v>13523</v>
      </c>
      <c r="G48" s="34"/>
    </row>
    <row r="49" spans="1:7" ht="51">
      <c r="A49" s="348"/>
      <c r="B49" s="193">
        <v>5.12</v>
      </c>
      <c r="C49" s="181" t="s">
        <v>13489</v>
      </c>
      <c r="D49" s="194">
        <v>43581</v>
      </c>
      <c r="E49" s="202" t="s">
        <v>13617</v>
      </c>
      <c r="F49" s="37" t="s">
        <v>14191</v>
      </c>
      <c r="G49" s="34"/>
    </row>
    <row r="50" spans="1:7" ht="71.400000000000006">
      <c r="A50" s="348"/>
      <c r="B50" s="243">
        <v>6</v>
      </c>
      <c r="C50" s="181" t="s">
        <v>13489</v>
      </c>
      <c r="D50" s="194">
        <v>43964</v>
      </c>
      <c r="E50" s="202" t="s">
        <v>14433</v>
      </c>
      <c r="F50" s="37" t="s">
        <v>14204</v>
      </c>
      <c r="G50" s="34"/>
    </row>
    <row r="51" spans="1:7" ht="40.799999999999997">
      <c r="A51" s="348"/>
      <c r="B51" s="193">
        <v>6.01</v>
      </c>
      <c r="C51" s="181" t="s">
        <v>13489</v>
      </c>
      <c r="D51" s="194">
        <v>43970</v>
      </c>
      <c r="E51" s="202" t="s">
        <v>15503</v>
      </c>
      <c r="F51" s="202" t="s">
        <v>14204</v>
      </c>
      <c r="G51" s="34"/>
    </row>
    <row r="52" spans="1:7" ht="13.2" thickBot="1">
      <c r="A52" s="349"/>
      <c r="B52" s="350" t="str">
        <f ca="1">OFFSET(L!$C$1,MATCH("General"&amp;"Cpy",L!$A:$A,0)-1,SL,,)</f>
        <v>© 2020 Responsible Minerals Initiative. All rights reserved.</v>
      </c>
      <c r="C52" s="350"/>
      <c r="D52" s="350"/>
      <c r="E52" s="350"/>
      <c r="F52" s="350"/>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1640625" defaultRowHeight="12.6"/>
  <cols>
    <col min="1" max="1" width="20.6328125" style="76" customWidth="1"/>
    <col min="2" max="2" width="57.1796875" style="76" customWidth="1"/>
    <col min="3" max="16384" width="8.8164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1640625" defaultRowHeight="12.6"/>
  <cols>
    <col min="1" max="1" width="11.17968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0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81640625" style="113" customWidth="1"/>
    <col min="8" max="16384" width="8.8164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0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G89" sqref="G89:J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style="113" hidden="1" customWidth="1"/>
    <col min="13" max="15" width="4.81640625" style="113" hidden="1" customWidth="1"/>
    <col min="16" max="23" width="9.1796875" hidden="1" customWidth="1"/>
    <col min="24" max="24" width="9.1796875" customWidth="1"/>
  </cols>
  <sheetData>
    <row r="1" spans="1:34" ht="16.8" thickTop="1">
      <c r="A1" s="396"/>
      <c r="B1" s="397"/>
      <c r="C1" s="397"/>
      <c r="D1" s="397"/>
      <c r="E1" s="397"/>
      <c r="F1" s="397"/>
      <c r="G1" s="397"/>
      <c r="H1" s="397"/>
      <c r="I1" s="397"/>
      <c r="J1" s="397"/>
      <c r="K1" s="39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399" t="str">
        <f ca="1">OFFSET(L!$C$1,MATCH("Declaration"&amp;ADDRESS(ROW(),COLUMN(),4),L!$A:$A,0)-1,SL,,)</f>
        <v>Conflict Minerals Reporting Template (CMRT)</v>
      </c>
      <c r="E2" s="400"/>
      <c r="F2" s="400"/>
      <c r="G2" s="400"/>
      <c r="H2" s="400"/>
      <c r="I2" s="400"/>
      <c r="J2" s="40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09"/>
      <c r="G3" s="409"/>
      <c r="H3" s="409"/>
      <c r="I3" s="184"/>
      <c r="J3" s="168" t="s">
        <v>15505</v>
      </c>
      <c r="K3" s="47"/>
      <c r="L3" s="139"/>
      <c r="M3" s="130"/>
      <c r="N3" s="130"/>
      <c r="O3" s="131"/>
      <c r="P3" s="144">
        <f>MATCH($D$3,LN,0)</f>
        <v>1</v>
      </c>
    </row>
    <row r="4" spans="1:34" ht="16.2">
      <c r="A4" s="45"/>
      <c r="B4" s="405" t="str">
        <f ca="1">OFFSET(L!$C$1,MATCH("Declaration"&amp;ADDRESS(ROW(),COLUMN(),4),L!$A:$A,0)-1,SL,,)</f>
        <v>The purpose of this document is to collect sourcing information on tin, tantalum, tungsten and gold used in products</v>
      </c>
      <c r="C4" s="405"/>
      <c r="D4" s="405"/>
      <c r="E4" s="405"/>
      <c r="F4" s="405"/>
      <c r="G4" s="405"/>
      <c r="H4" s="405"/>
      <c r="I4" s="410" t="str">
        <f ca="1">OFFSET(L!$C$1,MATCH("Declaration"&amp;ADDRESS(ROW(),COLUMN(),4),L!$A:$A,0)-1,SL,,)</f>
        <v>Link to Terms &amp; Conditions</v>
      </c>
      <c r="J4" s="410"/>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5" t="str">
        <f ca="1">OFFSET(L!$C$1,MATCH("Declaration"&amp;ADDRESS(ROW(),COLUMN(),4),L!$A:$A,0)-1,SL,,)</f>
        <v>Mandatory fields are noted with an asterisk (*).  Consult the instructions tab for guidance on how to answer each question.</v>
      </c>
      <c r="C6" s="405"/>
      <c r="D6" s="405"/>
      <c r="E6" s="405"/>
      <c r="F6" s="405"/>
      <c r="G6" s="405"/>
      <c r="H6" s="405"/>
      <c r="I6" s="405"/>
      <c r="J6" s="405"/>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4" t="str">
        <f ca="1">OFFSET(L!$C$1,MATCH("Declaration"&amp;ADDRESS(ROW(),COLUMN(),4),L!$A:$A,0)-1,SL,,)</f>
        <v>Company Information</v>
      </c>
      <c r="C7" s="414"/>
      <c r="D7" s="414"/>
      <c r="E7" s="414"/>
      <c r="F7" s="414"/>
      <c r="G7" s="414"/>
      <c r="H7" s="414"/>
      <c r="I7" s="414"/>
      <c r="J7" s="414"/>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2" t="s">
        <v>15506</v>
      </c>
      <c r="E8" s="403"/>
      <c r="F8" s="403"/>
      <c r="G8" s="403"/>
      <c r="H8" s="403"/>
      <c r="I8" s="403"/>
      <c r="J8" s="404"/>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1" t="s">
        <v>504</v>
      </c>
      <c r="E9" s="412"/>
      <c r="F9" s="412"/>
      <c r="G9" s="413"/>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549999999999997" customHeight="1">
      <c r="A10" s="49"/>
      <c r="B10" s="415" t="str">
        <f ca="1">OFFSET(L!$C$1,MATCH("Declaration"&amp;ADDRESS(ROW(),COLUMN(),4)&amp;LEFT($D$9,1),L!$A:$A,0)-1,SL,,)</f>
        <v>Description of Scope:</v>
      </c>
      <c r="C10" s="151"/>
      <c r="D10" s="406"/>
      <c r="E10" s="407"/>
      <c r="F10" s="407"/>
      <c r="G10" s="407"/>
      <c r="H10" s="407"/>
      <c r="I10" s="407"/>
      <c r="J10" s="40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16"/>
      <c r="C11" s="151"/>
      <c r="D11" s="422" t="str">
        <f ca="1">IF(D9=Q9,OFFSET(L!$C$1,MATCH("Declaration"&amp;ADDRESS(ROW(),COLUMN(),4),L!$A:$A,0)-1,SL,,),"")</f>
        <v/>
      </c>
      <c r="E11" s="423"/>
      <c r="F11" s="423"/>
      <c r="G11" s="423"/>
      <c r="H11" s="423"/>
      <c r="I11" s="423"/>
      <c r="J11" s="42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89"/>
      <c r="E12" s="390"/>
      <c r="F12" s="390"/>
      <c r="G12" s="390"/>
      <c r="H12" s="390"/>
      <c r="I12" s="390"/>
      <c r="J12" s="391"/>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89"/>
      <c r="E13" s="390"/>
      <c r="F13" s="390"/>
      <c r="G13" s="390"/>
      <c r="H13" s="390"/>
      <c r="I13" s="390"/>
      <c r="J13" s="391"/>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89" t="s">
        <v>15507</v>
      </c>
      <c r="E14" s="390"/>
      <c r="F14" s="390"/>
      <c r="G14" s="390"/>
      <c r="H14" s="390"/>
      <c r="I14" s="390"/>
      <c r="J14" s="391"/>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89" t="s">
        <v>15508</v>
      </c>
      <c r="E15" s="390"/>
      <c r="F15" s="390"/>
      <c r="G15" s="390"/>
      <c r="H15" s="390"/>
      <c r="I15" s="390"/>
      <c r="J15" s="391"/>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44" t="s">
        <v>15509</v>
      </c>
      <c r="E16" s="445"/>
      <c r="F16" s="445"/>
      <c r="G16" s="445"/>
      <c r="H16" s="445"/>
      <c r="I16" s="445"/>
      <c r="J16" s="44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89" t="s">
        <v>15510</v>
      </c>
      <c r="E17" s="390"/>
      <c r="F17" s="390"/>
      <c r="G17" s="390"/>
      <c r="H17" s="390"/>
      <c r="I17" s="390"/>
      <c r="J17" s="391"/>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89" t="s">
        <v>15508</v>
      </c>
      <c r="E18" s="390"/>
      <c r="F18" s="390"/>
      <c r="G18" s="390"/>
      <c r="H18" s="390"/>
      <c r="I18" s="390"/>
      <c r="J18" s="391"/>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89" t="s">
        <v>15511</v>
      </c>
      <c r="E19" s="390"/>
      <c r="F19" s="390"/>
      <c r="G19" s="390"/>
      <c r="H19" s="390"/>
      <c r="I19" s="390"/>
      <c r="J19" s="391"/>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44" t="s">
        <v>15509</v>
      </c>
      <c r="E20" s="445"/>
      <c r="F20" s="445"/>
      <c r="G20" s="445"/>
      <c r="H20" s="445"/>
      <c r="I20" s="445"/>
      <c r="J20" s="44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9" t="s">
        <v>15510</v>
      </c>
      <c r="E21" s="390"/>
      <c r="F21" s="390"/>
      <c r="G21" s="390"/>
      <c r="H21" s="390"/>
      <c r="I21" s="390"/>
      <c r="J21" s="39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6">
        <v>44096</v>
      </c>
      <c r="E22" s="38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19"/>
      <c r="E23" s="41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88" t="str">
        <f ca="1">OFFSET(L!$C$1,MATCH("Declaration"&amp;ADDRESS(ROW(),COLUMN(),4),L!$A:$A,0)-1,SL,,)</f>
        <v>Answer the following questions 1 - 8 based on the declaration scope indicated above</v>
      </c>
      <c r="C24" s="388"/>
      <c r="D24" s="388"/>
      <c r="E24" s="388"/>
      <c r="F24" s="388"/>
      <c r="G24" s="388"/>
      <c r="H24" s="388"/>
      <c r="I24" s="388"/>
      <c r="J24" s="38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0" t="str">
        <f ca="1">OFFSET(L!$C$1,MATCH("Declaration"&amp;ADDRESS(ROW(),COLUMN(),4),L!$A:$A,0)-1,SL,,)</f>
        <v>Answer</v>
      </c>
      <c r="E25" s="420"/>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 xml:space="preserve">Tin  </v>
      </c>
      <c r="C27" s="46"/>
      <c r="D27" s="378" t="s">
        <v>499</v>
      </c>
      <c r="E27" s="379"/>
      <c r="F27" s="15"/>
      <c r="G27" s="380"/>
      <c r="H27" s="381"/>
      <c r="I27" s="381"/>
      <c r="J27" s="382"/>
      <c r="K27" s="47"/>
      <c r="L27" s="142"/>
      <c r="M27" s="130"/>
      <c r="N27" s="130"/>
      <c r="O27" s="130"/>
      <c r="P27" s="144" t="str">
        <f>IF(D$27="No","","(*)")</f>
        <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 xml:space="preserve">Gold  </v>
      </c>
      <c r="C28" s="46"/>
      <c r="D28" s="378" t="s">
        <v>499</v>
      </c>
      <c r="E28" s="379"/>
      <c r="F28" s="15"/>
      <c r="G28" s="380"/>
      <c r="H28" s="381"/>
      <c r="I28" s="381"/>
      <c r="J28" s="382"/>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55" customHeight="1">
      <c r="A31" s="52"/>
      <c r="B31" s="55" t="str">
        <f ca="1">OFFSET(L!$C$1,MATCH("Declaration"&amp;ADDRESS(ROW(),COLUMN(),4),L!$A:$A,0)-1,SL,,)&amp;Q$37</f>
        <v>2) Does any 3TG remain in the product(s)?</v>
      </c>
      <c r="C31" s="13"/>
      <c r="D31" s="385" t="str">
        <f ca="1">D25</f>
        <v>Answer</v>
      </c>
      <c r="E31" s="385"/>
      <c r="F31" s="21"/>
      <c r="G31" s="55" t="str">
        <f ca="1">G25</f>
        <v>Comments</v>
      </c>
      <c r="H31" s="55"/>
      <c r="I31" s="55"/>
      <c r="J31" s="96"/>
      <c r="K31" s="47"/>
      <c r="L31" s="136" t="s">
        <v>1266</v>
      </c>
      <c r="M31" s="130"/>
      <c r="N31" s="130"/>
      <c r="O31" s="131"/>
      <c r="P31" s="56">
        <f>COUNTIF(D$26:D$29,"No")</f>
        <v>4</v>
      </c>
      <c r="Q31" s="56" t="str">
        <f>IF(P31=4,""," (*)")</f>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392"/>
      <c r="E32" s="393"/>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 xml:space="preserve">Tin  </v>
      </c>
      <c r="C33" s="13"/>
      <c r="D33" s="378"/>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 xml:space="preserve">Gold  </v>
      </c>
      <c r="C34" s="13"/>
      <c r="D34" s="378"/>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v>
      </c>
      <c r="C37" s="13"/>
      <c r="D37" s="385" t="str">
        <f ca="1">D25</f>
        <v>Answer</v>
      </c>
      <c r="E37" s="385"/>
      <c r="F37" s="21"/>
      <c r="G37" s="55" t="str">
        <f ca="1">G25</f>
        <v>Comments</v>
      </c>
      <c r="H37" s="418"/>
      <c r="I37" s="418"/>
      <c r="J37" s="418"/>
      <c r="K37" s="47"/>
      <c r="L37" s="136" t="s">
        <v>1266</v>
      </c>
      <c r="M37" s="130"/>
      <c r="N37" s="130"/>
      <c r="O37" s="131"/>
      <c r="P37" s="56">
        <f>COUNTIF(D$26:D$29,"No")+COUNTIF(D$32:D$35,"No")</f>
        <v>4</v>
      </c>
      <c r="Q37" s="56" t="str">
        <f>IF(P37&gt;3,""," (*)")</f>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 xml:space="preserve">Tin  </v>
      </c>
      <c r="C39" s="13"/>
      <c r="D39" s="378"/>
      <c r="E39" s="379"/>
      <c r="F39" s="58"/>
      <c r="G39" s="380"/>
      <c r="H39" s="381"/>
      <c r="I39" s="381"/>
      <c r="J39" s="382"/>
      <c r="K39" s="47"/>
      <c r="L39" s="142"/>
      <c r="M39" s="130"/>
      <c r="N39" s="130"/>
      <c r="O39" s="131"/>
      <c r="P39" s="144" t="str">
        <f>IF((OR(D$27="No",D$33="No")),"","(*)")</f>
        <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 xml:space="preserve">Gold  </v>
      </c>
      <c r="C40" s="13"/>
      <c r="D40" s="378"/>
      <c r="E40" s="379"/>
      <c r="F40" s="58"/>
      <c r="G40" s="380"/>
      <c r="H40" s="381"/>
      <c r="I40" s="381"/>
      <c r="J40" s="382"/>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55" customHeight="1">
      <c r="A43" s="52"/>
      <c r="B43" s="55" t="str">
        <f ca="1">OFFSET(L!$C$1,MATCH("Declaration"&amp;ADDRESS(ROW(),COLUMN(),4),L!$A:$A,0)-1,SL,,)&amp;Q$37</f>
        <v>4) Do any of the smelters in your supply chain source the 3TG from conflict-affected and high-risk areas?</v>
      </c>
      <c r="C43" s="13"/>
      <c r="D43" s="385" t="str">
        <f ca="1">D25</f>
        <v>Answer</v>
      </c>
      <c r="E43" s="385"/>
      <c r="F43" s="21"/>
      <c r="G43" s="55" t="str">
        <f ca="1">G25</f>
        <v>Comments</v>
      </c>
      <c r="H43" s="55"/>
      <c r="I43" s="55"/>
      <c r="J43" s="96"/>
      <c r="K43" s="47"/>
      <c r="L43" s="136"/>
      <c r="M43" s="130"/>
      <c r="N43" s="130"/>
      <c r="O43" s="131"/>
      <c r="P43" s="56">
        <f>COUNTIF(D$26:D$29,"No")+COUNTIF(D$32:D$35,"No")</f>
        <v>4</v>
      </c>
      <c r="Q43" s="56" t="str">
        <f>IF(P43&gt;3,""," (*)")</f>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 xml:space="preserve">Tin  </v>
      </c>
      <c r="C45" s="13"/>
      <c r="D45" s="378"/>
      <c r="E45" s="379"/>
      <c r="F45" s="58"/>
      <c r="G45" s="380"/>
      <c r="H45" s="381"/>
      <c r="I45" s="381"/>
      <c r="J45" s="382"/>
      <c r="K45" s="47"/>
      <c r="L45" s="136"/>
      <c r="M45" s="130"/>
      <c r="N45" s="130"/>
      <c r="O45" s="131"/>
      <c r="P45" s="144"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8"/>
      <c r="E46" s="379"/>
      <c r="F46" s="58"/>
      <c r="G46" s="380"/>
      <c r="H46" s="381"/>
      <c r="I46" s="381"/>
      <c r="J46" s="382"/>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 xml:space="preserve">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 xml:space="preserve">Tin  </v>
      </c>
      <c r="C51" s="13"/>
      <c r="D51" s="378"/>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 xml:space="preserve">Gold  </v>
      </c>
      <c r="C52" s="13"/>
      <c r="D52" s="378"/>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55" customHeight="1">
      <c r="A55" s="52"/>
      <c r="B55" s="161" t="str">
        <f ca="1">OFFSET(L!$C$1,MATCH("Declaration"&amp;ADDRESS(ROW(),COLUMN(),4),L!$A:$A,0)-1,SL,,)&amp;Q$37</f>
        <v xml:space="preserve">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46"/>
      <c r="D56" s="383"/>
      <c r="E56" s="384"/>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 xml:space="preserve">Tin  </v>
      </c>
      <c r="C57" s="46"/>
      <c r="D57" s="383"/>
      <c r="E57" s="384"/>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 xml:space="preserve">Gold  </v>
      </c>
      <c r="C58" s="46"/>
      <c r="D58" s="383"/>
      <c r="E58" s="384"/>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46"/>
      <c r="D59" s="383"/>
      <c r="E59" s="384"/>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 xml:space="preserve">7) Have you identified all of the smelters supplying the 3TG to your supply chain? </v>
      </c>
      <c r="C61" s="13"/>
      <c r="D61" s="385" t="str">
        <f ca="1">D25</f>
        <v>Answer</v>
      </c>
      <c r="E61" s="385"/>
      <c r="F61" s="21"/>
      <c r="G61" s="55" t="str">
        <f ca="1">G25</f>
        <v>Comments</v>
      </c>
      <c r="H61" s="417"/>
      <c r="I61" s="417"/>
      <c r="J61" s="417"/>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13"/>
      <c r="D62" s="392"/>
      <c r="E62" s="393"/>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 xml:space="preserve">Tin  </v>
      </c>
      <c r="C63" s="13"/>
      <c r="D63" s="378"/>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 xml:space="preserve">Gold  </v>
      </c>
      <c r="C64" s="13"/>
      <c r="D64" s="378"/>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 xml:space="preserve">8) Has all applicable smelter information received by your company been reported in this declaration? </v>
      </c>
      <c r="C67" s="13"/>
      <c r="D67" s="385" t="str">
        <f ca="1">D25</f>
        <v>Answer</v>
      </c>
      <c r="E67" s="385"/>
      <c r="F67" s="21"/>
      <c r="G67" s="55" t="str">
        <f ca="1">G25</f>
        <v>Comments</v>
      </c>
      <c r="H67" s="417" t="str">
        <f>IF(Q75="(*)","Click here to enter smelter names","")</f>
        <v/>
      </c>
      <c r="I67" s="417"/>
      <c r="J67" s="417"/>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 xml:space="preserve">Tin  </v>
      </c>
      <c r="C69" s="46"/>
      <c r="D69" s="378"/>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 xml:space="preserve">Gold  </v>
      </c>
      <c r="C70" s="46"/>
      <c r="D70" s="378"/>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1" t="str">
        <f ca="1">OFFSET(L!$C$1,MATCH("Declaration"&amp;ADDRESS(ROW(),COLUMN(),4),L!$A:$A,0)-1,SL,,)</f>
        <v>Answer the Following Questions at a Company Level</v>
      </c>
      <c r="C73" s="431"/>
      <c r="D73" s="431"/>
      <c r="E73" s="431"/>
      <c r="F73" s="431"/>
      <c r="G73" s="431"/>
      <c r="H73" s="431"/>
      <c r="I73" s="431"/>
      <c r="J73" s="43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0" t="str">
        <f ca="1">D25</f>
        <v>Answer</v>
      </c>
      <c r="E74" s="420"/>
      <c r="F74" s="64"/>
      <c r="G74" s="420" t="str">
        <f ca="1">G25</f>
        <v>Comments</v>
      </c>
      <c r="H74" s="420" t="e">
        <f>HLOOKUP(SL,LT,$O74,0)</f>
        <v>#NAME?</v>
      </c>
      <c r="I74" s="42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1"/>
      <c r="H76" s="421"/>
      <c r="I76" s="421"/>
      <c r="J76" s="42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v>
      </c>
      <c r="C77" s="68"/>
      <c r="D77" s="378" t="s">
        <v>498</v>
      </c>
      <c r="E77" s="379"/>
      <c r="F77" s="68"/>
      <c r="G77" s="447" t="s">
        <v>15512</v>
      </c>
      <c r="H77" s="394"/>
      <c r="I77" s="394"/>
      <c r="J77" s="395"/>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v>
      </c>
      <c r="C81" s="68"/>
      <c r="D81" s="378" t="s">
        <v>498</v>
      </c>
      <c r="E81" s="379"/>
      <c r="F81" s="68"/>
      <c r="G81" s="380" t="s">
        <v>15513</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v>
      </c>
      <c r="C83" s="68"/>
      <c r="D83" s="378" t="s">
        <v>499</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v>
      </c>
      <c r="C85" s="68"/>
      <c r="D85" s="428" t="s">
        <v>499</v>
      </c>
      <c r="E85" s="429"/>
      <c r="F85" s="68"/>
      <c r="G85" s="380" t="s">
        <v>15514</v>
      </c>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1"/>
      <c r="H86" s="421"/>
      <c r="I86" s="421"/>
      <c r="J86" s="42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v>
      </c>
      <c r="C87" s="68"/>
      <c r="D87" s="378" t="s">
        <v>499</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0"/>
      <c r="H88" s="430"/>
      <c r="I88" s="430"/>
      <c r="J88" s="43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ustomHeight="1">
      <c r="A89" s="52"/>
      <c r="B89" s="67" t="str">
        <f ca="1">OFFSET(L!$C$1,MATCH("Declaration"&amp;ADDRESS(ROW(),COLUMN(),4),L!$A:$A,0)-1,SL,,)&amp;$Q$37</f>
        <v>H. Is your company required to file an annual conflict minerals disclosure?</v>
      </c>
      <c r="C89" s="68"/>
      <c r="D89" s="378" t="s">
        <v>499</v>
      </c>
      <c r="E89" s="379"/>
      <c r="F89" s="68"/>
      <c r="G89" s="380" t="s">
        <v>15515</v>
      </c>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27" t="str">
        <f>IF(OR($D$8="",$I$3=""),"","Click here to check required fields completion")</f>
        <v/>
      </c>
      <c r="C90" s="427"/>
      <c r="D90" s="427"/>
      <c r="E90" s="427"/>
      <c r="F90" s="427"/>
      <c r="G90" s="427"/>
      <c r="H90" s="427"/>
      <c r="I90" s="427"/>
      <c r="J90" s="42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25" t="str">
        <f ca="1">OFFSET(L!$C$1,MATCH("General"&amp;"Cpy",L!$A:$A,0)-1,SL,,)</f>
        <v>© 2020 Responsible Minerals Initiative. All rights reserved.</v>
      </c>
      <c r="B91" s="426"/>
      <c r="C91" s="426"/>
      <c r="D91" s="426"/>
      <c r="E91" s="426"/>
      <c r="F91" s="426"/>
      <c r="G91" s="426"/>
      <c r="H91" s="426"/>
      <c r="I91" s="426"/>
      <c r="J91" s="42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10" priority="71" stopIfTrue="1">
      <formula>AND(OR($D$26="No",AND($D$26="Yes",$D$32="No")),OR($D$27="No",AND($D$27="Yes",$D$33="No")),OR($D$28="No",AND($D$28="Yes",$D$34="No")),OR($D$29="No",AND($D$29="Yes",$D$35="No")))</formula>
    </cfRule>
    <cfRule type="expression" dxfId="109" priority="72" stopIfTrue="1">
      <formula>IF(D75="",TRUE)</formula>
    </cfRule>
  </conditionalFormatting>
  <conditionalFormatting sqref="D26:E26">
    <cfRule type="expression" dxfId="107" priority="123" stopIfTrue="1">
      <formula>IF($D$26="",TRUE)</formula>
    </cfRule>
  </conditionalFormatting>
  <conditionalFormatting sqref="D27:E27">
    <cfRule type="expression" dxfId="106" priority="130" stopIfTrue="1">
      <formula>IF($D$27="",TRUE)</formula>
    </cfRule>
  </conditionalFormatting>
  <conditionalFormatting sqref="D28:E28">
    <cfRule type="expression" dxfId="105" priority="131" stopIfTrue="1">
      <formula>IF($D$28="",TRUE)</formula>
    </cfRule>
  </conditionalFormatting>
  <conditionalFormatting sqref="D29:E29">
    <cfRule type="expression" dxfId="104" priority="132" stopIfTrue="1">
      <formula>IF($D$29="",TRUE)</formula>
    </cfRule>
  </conditionalFormatting>
  <conditionalFormatting sqref="D8:J8">
    <cfRule type="expression" dxfId="103" priority="137" stopIfTrue="1">
      <formula>IF($D$8="",TRUE)</formula>
    </cfRule>
  </conditionalFormatting>
  <conditionalFormatting sqref="D9:G9">
    <cfRule type="expression" dxfId="102" priority="138" stopIfTrue="1">
      <formula>IF($D$9="",TRUE)</formula>
    </cfRule>
  </conditionalFormatting>
  <conditionalFormatting sqref="D22:E22">
    <cfRule type="expression" dxfId="97" priority="145" stopIfTrue="1">
      <formula>IF($D$22="",TRUE)</formula>
    </cfRule>
  </conditionalFormatting>
  <conditionalFormatting sqref="D10:J10">
    <cfRule type="expression" dxfId="96" priority="42" stopIfTrue="1">
      <formula>IF($D$9=$Q$9,TRUE)</formula>
    </cfRule>
    <cfRule type="expression" dxfId="95" priority="152" stopIfTrue="1">
      <formula>IF(AND($D$10="",$D$9=$R$9),TRUE)</formula>
    </cfRule>
  </conditionalFormatting>
  <conditionalFormatting sqref="D34:E34 D40:E40 D52:E52 D58:E58 D64:E64 D70:E70">
    <cfRule type="expression" dxfId="94" priority="35" stopIfTrue="1">
      <formula>$P$28=""</formula>
    </cfRule>
  </conditionalFormatting>
  <conditionalFormatting sqref="D35:E35 D41:E41 D53:E53 D59:E59 D65:E65 D71:E71">
    <cfRule type="expression" dxfId="93" priority="150" stopIfTrue="1">
      <formula>$P$29=""</formula>
    </cfRule>
  </conditionalFormatting>
  <conditionalFormatting sqref="D32:E32">
    <cfRule type="expression" dxfId="92" priority="128" stopIfTrue="1">
      <formula>$P$26=""</formula>
    </cfRule>
  </conditionalFormatting>
  <conditionalFormatting sqref="D32:E32">
    <cfRule type="expression" dxfId="91" priority="41" stopIfTrue="1">
      <formula>IF(AND(OR($D$26="Yes",$D$26=""),$D$32=""),1,0)</formula>
    </cfRule>
  </conditionalFormatting>
  <conditionalFormatting sqref="D38 D50 D56 D62 D68">
    <cfRule type="expression" dxfId="90" priority="37" stopIfTrue="1">
      <formula>$P$32=""</formula>
    </cfRule>
  </conditionalFormatting>
  <conditionalFormatting sqref="D39:E39 D51 D57 D63 D69">
    <cfRule type="expression" dxfId="89" priority="36" stopIfTrue="1">
      <formula>$P$33=""</formula>
    </cfRule>
  </conditionalFormatting>
  <conditionalFormatting sqref="D40 D52 D58 D64 D70">
    <cfRule type="expression" dxfId="88" priority="26" stopIfTrue="1">
      <formula>$P$34=""</formula>
    </cfRule>
    <cfRule type="expression" dxfId="87" priority="148" stopIfTrue="1">
      <formula>IF(AND(OR($D$28="Yes",$D$28=""),D40=""),1,0)</formula>
    </cfRule>
  </conditionalFormatting>
  <conditionalFormatting sqref="D41 D53 D59 D65 D71">
    <cfRule type="expression" dxfId="86" priority="34" stopIfTrue="1">
      <formula>$P$35=""</formula>
    </cfRule>
  </conditionalFormatting>
  <conditionalFormatting sqref="D38:E38 D50:E50 D56:E56 D62:E62 D68:E68">
    <cfRule type="expression" dxfId="85" priority="39" stopIfTrue="1">
      <formula>$P$26=""</formula>
    </cfRule>
    <cfRule type="expression" dxfId="84" priority="40" stopIfTrue="1">
      <formula>IF(AND(OR($D$26="Yes",$D$26=""),D38=""),1,0)</formula>
    </cfRule>
  </conditionalFormatting>
  <conditionalFormatting sqref="D39:E39 D51:E51 D57:E57 D63:E63 D69:E69">
    <cfRule type="expression" dxfId="82" priority="146" stopIfTrue="1">
      <formula>$P$39=""</formula>
    </cfRule>
    <cfRule type="expression" dxfId="81" priority="147" stopIfTrue="1">
      <formula>IF(AND(OR($D$27="Yes",$D$27=""),D39=""),1,0)</formula>
    </cfRule>
  </conditionalFormatting>
  <conditionalFormatting sqref="D33:E33">
    <cfRule type="expression" dxfId="80" priority="28" stopIfTrue="1">
      <formula>IF(AND(OR($D$27="Yes",$D$27=""),$D$33=""),1,0)</formula>
    </cfRule>
    <cfRule type="expression" dxfId="79" priority="29" stopIfTrue="1">
      <formula>$P$27=""</formula>
    </cfRule>
  </conditionalFormatting>
  <conditionalFormatting sqref="D34:E34">
    <cfRule type="expression" dxfId="78" priority="149" stopIfTrue="1">
      <formula>IF(AND(OR($D$28="Yes",$D$28=""),$D$34=""),1,0)</formula>
    </cfRule>
  </conditionalFormatting>
  <conditionalFormatting sqref="D41:E41 D53:E53 D59:E59 D65:E65 D71:E71">
    <cfRule type="expression" dxfId="77" priority="151" stopIfTrue="1">
      <formula>IF(AND(OR($D$29="Yes",$D$29=""),D41=""),1,0)</formula>
    </cfRule>
  </conditionalFormatting>
  <conditionalFormatting sqref="D35:E35">
    <cfRule type="expression" dxfId="76" priority="25" stopIfTrue="1">
      <formula>IF(AND(OR($D$29="Yes",$D$29=""),$D$35=""),1,0)</formula>
    </cfRule>
  </conditionalFormatting>
  <conditionalFormatting sqref="D46:E46">
    <cfRule type="expression" dxfId="74" priority="11" stopIfTrue="1">
      <formula>$P$28=""</formula>
    </cfRule>
  </conditionalFormatting>
  <conditionalFormatting sqref="D47:E47">
    <cfRule type="expression" dxfId="73" priority="19" stopIfTrue="1">
      <formula>$P$29=""</formula>
    </cfRule>
  </conditionalFormatting>
  <conditionalFormatting sqref="D44">
    <cfRule type="expression" dxfId="72" priority="13" stopIfTrue="1">
      <formula>$P$32=""</formula>
    </cfRule>
  </conditionalFormatting>
  <conditionalFormatting sqref="D45">
    <cfRule type="expression" dxfId="71" priority="12" stopIfTrue="1">
      <formula>$P$33=""</formula>
    </cfRule>
  </conditionalFormatting>
  <conditionalFormatting sqref="D46">
    <cfRule type="expression" dxfId="70" priority="9" stopIfTrue="1">
      <formula>$P$34=""</formula>
    </cfRule>
    <cfRule type="expression" dxfId="69" priority="18" stopIfTrue="1">
      <formula>IF(AND(OR($D$28="Yes",$D$28=""),D46=""),1,0)</formula>
    </cfRule>
  </conditionalFormatting>
  <conditionalFormatting sqref="D47">
    <cfRule type="expression" dxfId="68" priority="10" stopIfTrue="1">
      <formula>$P$35=""</formula>
    </cfRule>
  </conditionalFormatting>
  <conditionalFormatting sqref="D44:E44">
    <cfRule type="expression" dxfId="67" priority="14" stopIfTrue="1">
      <formula>$P$26=""</formula>
    </cfRule>
    <cfRule type="expression" dxfId="66" priority="15" stopIfTrue="1">
      <formula>IF(AND(OR($D$26="Yes",$D$26=""),D44=""),1,0)</formula>
    </cfRule>
  </conditionalFormatting>
  <conditionalFormatting sqref="D45:E45">
    <cfRule type="expression" dxfId="65" priority="16" stopIfTrue="1">
      <formula>$P$39=""</formula>
    </cfRule>
    <cfRule type="expression" dxfId="64" priority="17" stopIfTrue="1">
      <formula>IF(AND(OR($D$27="Yes",$D$27=""),D45=""),1,0)</formula>
    </cfRule>
  </conditionalFormatting>
  <conditionalFormatting sqref="D47:E47">
    <cfRule type="expression" dxfId="63" priority="20" stopIfTrue="1">
      <formula>IF(AND(OR($D$29="Yes",$D$29=""),D47=""),1,0)</formula>
    </cfRule>
  </conditionalFormatting>
  <conditionalFormatting sqref="D15:J15">
    <cfRule type="expression" dxfId="8" priority="5" stopIfTrue="1">
      <formula>IF($D$15="",TRUE)</formula>
    </cfRule>
  </conditionalFormatting>
  <conditionalFormatting sqref="D16:J16">
    <cfRule type="expression" dxfId="7" priority="6" stopIfTrue="1">
      <formula>IF($D$16="",TRUE)</formula>
    </cfRule>
  </conditionalFormatting>
  <conditionalFormatting sqref="D17:J17">
    <cfRule type="expression" dxfId="6" priority="7" stopIfTrue="1">
      <formula>IF($D$17="",TRUE)</formula>
    </cfRule>
  </conditionalFormatting>
  <conditionalFormatting sqref="D18:J18">
    <cfRule type="expression" dxfId="5" priority="8" stopIfTrue="1">
      <formula>IF($D$18="",TRUE)</formula>
    </cfRule>
  </conditionalFormatting>
  <conditionalFormatting sqref="D20:J20">
    <cfRule type="expression" dxfId="4" priority="3" stopIfTrue="1">
      <formula>IF($D$20="",TRUE)</formula>
    </cfRule>
  </conditionalFormatting>
  <conditionalFormatting sqref="D21:J21">
    <cfRule type="expression" dxfId="3" priority="4" stopIfTrue="1">
      <formula>IF($D$21="",TRUE)</formula>
    </cfRule>
  </conditionalFormatting>
  <conditionalFormatting sqref="G77:J77">
    <cfRule type="expression" dxfId="2" priority="2" stopIfTrue="1">
      <formula>IF(AND($D$71="Yes",$G$71=""),TRUE)</formula>
    </cfRule>
  </conditionalFormatting>
  <conditionalFormatting sqref="G85:J85">
    <cfRule type="expression" dxfId="0" priority="1" stopIfTrue="1">
      <formula>IF(AND($D$79="Yes, using other format (describe)",$G$79=""),TRUE)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8CF16402-19E0-4B69-AF5B-51106F0B2189}"/>
    <hyperlink ref="D20" r:id="rId4" xr:uid="{C8669E11-1A04-474D-BBBF-6115ADBBFED1}"/>
    <hyperlink ref="G77" r:id="rId5" xr:uid="{DD4BE9B0-8DD4-48BA-BEE0-D919F6065411}"/>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5" sqref="A5"/>
    </sheetView>
  </sheetViews>
  <sheetFormatPr defaultColWidth="8.81640625" defaultRowHeight="12.6"/>
  <cols>
    <col min="1" max="1" width="13.6328125" style="277" customWidth="1"/>
    <col min="2" max="2" width="13.36328125" style="282" customWidth="1"/>
    <col min="3" max="3" width="40.6328125" style="282" customWidth="1"/>
    <col min="4" max="4" width="30.6328125" style="282" customWidth="1"/>
    <col min="5" max="5" width="20.81640625" style="282" customWidth="1"/>
    <col min="6" max="7" width="13.81640625" style="282" customWidth="1"/>
    <col min="8" max="8" width="25.1796875" style="282" customWidth="1"/>
    <col min="9" max="9" width="24.1796875" style="282" customWidth="1"/>
    <col min="10" max="10" width="18.36328125" style="282" customWidth="1"/>
    <col min="11" max="11" width="27.36328125" style="282" customWidth="1"/>
    <col min="12" max="12" width="20.6328125" style="282" customWidth="1"/>
    <col min="13" max="13" width="35.1796875" style="282" customWidth="1"/>
    <col min="14" max="14" width="42.1796875" style="282" customWidth="1"/>
    <col min="15" max="15" width="32.1796875" style="282" customWidth="1"/>
    <col min="16" max="16" width="22.81640625" style="282" customWidth="1"/>
    <col min="17" max="17" width="43.6328125" style="282" customWidth="1"/>
    <col min="18" max="18" width="35.81640625" style="282" hidden="1" customWidth="1"/>
    <col min="19" max="20" width="17.81640625" style="282" hidden="1" customWidth="1"/>
    <col min="21" max="21" width="8.81640625" style="281" hidden="1" customWidth="1"/>
    <col min="22" max="22" width="6.1796875" style="281" hidden="1" customWidth="1"/>
    <col min="23" max="23" width="8.6328125" style="281" hidden="1" customWidth="1"/>
    <col min="24" max="24" width="8.81640625" style="281" hidden="1" customWidth="1"/>
    <col min="25" max="26" width="4.36328125" style="281" hidden="1" customWidth="1"/>
    <col min="27" max="27" width="4.36328125" style="282" hidden="1" customWidth="1"/>
    <col min="28" max="28" width="7.81640625" style="282" hidden="1" customWidth="1"/>
    <col min="29" max="33" width="4.36328125" style="282" hidden="1" customWidth="1"/>
    <col min="34" max="34" width="14.6328125" style="282" hidden="1" customWidth="1"/>
    <col min="35" max="39" width="8.81640625" style="282" customWidth="1"/>
    <col min="40" max="16384" width="8.81640625" style="282"/>
  </cols>
  <sheetData>
    <row r="1" spans="1:34" s="269" customFormat="1" ht="16.0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32" t="str">
        <f ca="1">OFFSET(L!$C$1,MATCH("Smelter List"&amp;ADDRESS(ROW(),COLUMN(),4),L!$A:$A,0)-1,SL,,)</f>
        <v>Link to "RMAP Conformant Smelter List"</v>
      </c>
      <c r="K2" s="433"/>
      <c r="L2" s="433"/>
      <c r="M2" s="433"/>
      <c r="N2" s="433"/>
      <c r="O2" s="433"/>
      <c r="P2" s="234"/>
      <c r="Q2" s="235"/>
      <c r="R2" s="236"/>
      <c r="S2" s="236"/>
      <c r="T2" s="236"/>
      <c r="U2" s="267"/>
      <c r="V2" s="267"/>
      <c r="W2" s="268"/>
      <c r="X2" s="267"/>
      <c r="Y2" s="267"/>
      <c r="Z2" s="267"/>
      <c r="AH2" s="176" t="s">
        <v>498</v>
      </c>
    </row>
    <row r="3" spans="1:34" s="269" customFormat="1" ht="244.05" customHeight="1">
      <c r="A3" s="204"/>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70"/>
      <c r="G3" s="435" t="str">
        <f ca="1">OFFSET(L!$C$1,MATCH("General"&amp;"Cpy",L!$A:$A,0)-1,SL,,)</f>
        <v>© 2020 Responsible Minerals Initiative. All rights reserved.</v>
      </c>
      <c r="H3" s="435"/>
      <c r="I3" s="436"/>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32"/>
      <c r="B5" s="217" t="str">
        <f>IF(LEN(A5)=0,"",INDEX('Smelter Look-up'!$A:$A,MATCH($A5,'Smelter Look-up'!$E:$E,0)))</f>
        <v/>
      </c>
      <c r="C5" s="221" t="str">
        <f>IF(LEN(A5)=0,"",INDEX('Smelter Look-up'!$C:$C,MATCH($A5,'Smelter Look-up'!$E:$E,0)))</f>
        <v/>
      </c>
      <c r="D5" s="283"/>
      <c r="E5" s="217" t="str">
        <f ca="1">IF(ISERROR($V5),"",OFFSET('Smelter Look-up'!$D$4,$V5-4,0)&amp;"")</f>
        <v/>
      </c>
      <c r="F5" s="217" t="str">
        <f ca="1">IF(ISERROR($V5),"",OFFSET('Smelter Look-up'!$E$4,$V5-4,0))</f>
        <v/>
      </c>
      <c r="G5" s="217" t="str">
        <f ca="1">IF(C5=$X$4,"Enter smelter details",IF(ISERROR($V5),"",OFFSET('Smelter Look-up'!$F$4,$V5-4,0)))</f>
        <v/>
      </c>
      <c r="H5" s="218" t="str">
        <f ca="1">IF(ISERROR($V5),"",OFFSET('Smelter Look-up'!$G$4,$V5-4,0))</f>
        <v/>
      </c>
      <c r="I5" s="219" t="str">
        <f ca="1">IF(ISERROR($V5),"",OFFSET('Smelter Look-up'!$H$4,$V5-4,0))</f>
        <v/>
      </c>
      <c r="J5" s="219" t="str">
        <f ca="1">IF(ISERROR($V5),"",OFFSET('Smelter Look-up'!$I$4,$V5-4,0))</f>
        <v/>
      </c>
      <c r="K5" s="273"/>
      <c r="L5" s="273"/>
      <c r="M5" s="273"/>
      <c r="N5" s="273"/>
      <c r="O5" s="273"/>
      <c r="P5" s="220"/>
      <c r="Q5" s="274"/>
      <c r="R5" s="217" t="str">
        <f ca="1">IF(ISERROR($V5),"",OFFSET('Smelter Look-up'!$C$4,$V5-4,0)&amp;"")</f>
        <v/>
      </c>
      <c r="S5" s="225" t="str">
        <f t="shared" ref="S5" ca="1" si="0">IF(B5="","",IF(ISERROR(MATCH($E5,CL,0)),"Unknown",INDIRECT("'C'!$A$"&amp;MATCH($E5,CL,0)+1)))</f>
        <v/>
      </c>
      <c r="T5" s="225" t="str">
        <f ca="1">IF(B5="","",IF(ISERROR(MATCH($J5,SorP!$B$1:$B$6230,0)),"",INDIRECT("'SorP'!$A$"&amp;MATCH($J5,SorP!$B$1:$B$6230,0))))</f>
        <v/>
      </c>
      <c r="U5" s="241"/>
      <c r="V5" s="275" t="e">
        <f>IF(C5="",NA(),MATCH($B5&amp;$C5,'Smelter Look-up'!$J:$J,0))</f>
        <v>#N/A</v>
      </c>
      <c r="W5" s="276"/>
      <c r="X5" s="276">
        <f t="shared" ref="X5" ca="1" si="1">IF(AND(C5="Smelter not listed",OR(LEN(D5)=0,LEN(E5)=0)),1,0)</f>
        <v>0</v>
      </c>
      <c r="Y5" s="276"/>
      <c r="Z5" s="276"/>
      <c r="AB5" s="278" t="str">
        <f t="shared" ref="AB5" si="2">B5&amp;C5</f>
        <v/>
      </c>
    </row>
    <row r="6" spans="1:34" s="277" customFormat="1" ht="19.95" customHeight="1">
      <c r="A6" s="332"/>
      <c r="B6" s="217" t="str">
        <f>IF(LEN(A6)=0,"",INDEX('Smelter Look-up'!$A:$A,MATCH($A6,'Smelter Look-up'!$E:$E,0)))</f>
        <v/>
      </c>
      <c r="C6" s="221" t="str">
        <f>IF(LEN(A6)=0,"",INDEX('Smelter Look-up'!$C:$C,MATCH($A6,'Smelter Look-up'!$E:$E,0)))</f>
        <v/>
      </c>
      <c r="D6" s="283"/>
      <c r="E6" s="217" t="str">
        <f ca="1">IF(ISERROR($V6),"",OFFSET('Smelter Look-up'!$D$4,$V6-4,0)&amp;"")</f>
        <v/>
      </c>
      <c r="F6" s="217" t="str">
        <f ca="1">IF(ISERROR($V6),"",OFFSET('Smelter Look-up'!$E$4,$V6-4,0))</f>
        <v/>
      </c>
      <c r="G6" s="217" t="str">
        <f ca="1">IF(C6=$X$4,"Enter smelter details",IF(ISERROR($V6),"",OFFSET('Smelter Look-up'!$F$4,$V6-4,0)))</f>
        <v/>
      </c>
      <c r="H6" s="218" t="str">
        <f ca="1">IF(ISERROR($V6),"",OFFSET('Smelter Look-up'!$G$4,$V6-4,0))</f>
        <v/>
      </c>
      <c r="I6" s="219" t="str">
        <f ca="1">IF(ISERROR($V6),"",OFFSET('Smelter Look-up'!$H$4,$V6-4,0))</f>
        <v/>
      </c>
      <c r="J6" s="219" t="str">
        <f ca="1">IF(ISERROR($V6),"",OFFSET('Smelter Look-up'!$I$4,$V6-4,0))</f>
        <v/>
      </c>
      <c r="K6" s="273"/>
      <c r="L6" s="273"/>
      <c r="M6" s="273"/>
      <c r="N6" s="273"/>
      <c r="O6" s="273"/>
      <c r="P6" s="220"/>
      <c r="Q6" s="274"/>
      <c r="R6" s="217" t="str">
        <f ca="1">IF(ISERROR($V6),"",OFFSET('Smelter Look-up'!$C$4,$V6-4,0)&amp;"")</f>
        <v/>
      </c>
      <c r="S6" s="225" t="str">
        <f t="shared" ref="S6:S37" ca="1" si="3">IF(B6="","",IF(ISERROR(MATCH($E6,CL,0)),"Unknown",INDIRECT("'C'!$A$"&amp;MATCH($E6,CL,0)+1)))</f>
        <v/>
      </c>
      <c r="T6" s="225" t="str">
        <f ca="1">IF(B6="","",IF(ISERROR(MATCH($J6,SorP!$B$1:$B$6230,0)),"",INDIRECT("'SorP'!$A$"&amp;MATCH($J6,SorP!$B$1:$B$6230,0))))</f>
        <v/>
      </c>
      <c r="U6" s="241"/>
      <c r="V6" s="275" t="e">
        <f>IF(C6="",NA(),MATCH($B6&amp;$C6,'Smelter Look-up'!$J:$J,0))</f>
        <v>#N/A</v>
      </c>
      <c r="W6" s="276"/>
      <c r="X6" s="276">
        <f t="shared" ref="X6:X37" ca="1" si="4">IF(AND(C6="Smelter not listed",OR(LEN(D6)=0,LEN(E6)=0)),1,0)</f>
        <v>0</v>
      </c>
      <c r="Y6" s="276"/>
      <c r="Z6" s="276"/>
      <c r="AB6" s="278" t="str">
        <f t="shared" ref="AB6:AB37" si="5">B6&amp;C6</f>
        <v/>
      </c>
    </row>
    <row r="7" spans="1:34" s="277" customFormat="1" ht="19.95" customHeight="1">
      <c r="A7" s="332"/>
      <c r="B7" s="217" t="str">
        <f>IF(LEN(A7)=0,"",INDEX('Smelter Look-up'!$A:$A,MATCH($A7,'Smelter Look-up'!$E:$E,0)))</f>
        <v/>
      </c>
      <c r="C7" s="221" t="str">
        <f>IF(LEN(A7)=0,"",INDEX('Smelter Look-up'!$C:$C,MATCH($A7,'Smelter Look-up'!$E:$E,0)))</f>
        <v/>
      </c>
      <c r="D7" s="283"/>
      <c r="E7" s="217" t="str">
        <f ca="1">IF(ISERROR($V7),"",OFFSET('Smelter Look-up'!$D$4,$V7-4,0)&amp;"")</f>
        <v/>
      </c>
      <c r="F7" s="217" t="str">
        <f ca="1">IF(ISERROR($V7),"",OFFSET('Smelter Look-up'!$E$4,$V7-4,0))</f>
        <v/>
      </c>
      <c r="G7" s="217" t="str">
        <f ca="1">IF(C7=$X$4,"Enter smelter details",IF(ISERROR($V7),"",OFFSET('Smelter Look-up'!$F$4,$V7-4,0)))</f>
        <v/>
      </c>
      <c r="H7" s="218" t="str">
        <f ca="1">IF(ISERROR($V7),"",OFFSET('Smelter Look-up'!$G$4,$V7-4,0))</f>
        <v/>
      </c>
      <c r="I7" s="219" t="str">
        <f ca="1">IF(ISERROR($V7),"",OFFSET('Smelter Look-up'!$H$4,$V7-4,0))</f>
        <v/>
      </c>
      <c r="J7" s="219" t="str">
        <f ca="1">IF(ISERROR($V7),"",OFFSET('Smelter Look-up'!$I$4,$V7-4,0))</f>
        <v/>
      </c>
      <c r="K7" s="273"/>
      <c r="L7" s="273"/>
      <c r="M7" s="273"/>
      <c r="N7" s="273"/>
      <c r="O7" s="273"/>
      <c r="P7" s="220"/>
      <c r="Q7" s="274"/>
      <c r="R7" s="217" t="str">
        <f ca="1">IF(ISERROR($V7),"",OFFSET('Smelter Look-up'!$C$4,$V7-4,0)&amp;"")</f>
        <v/>
      </c>
      <c r="S7" s="225" t="str">
        <f t="shared" ca="1" si="3"/>
        <v/>
      </c>
      <c r="T7" s="225" t="str">
        <f ca="1">IF(B7="","",IF(ISERROR(MATCH($J7,SorP!$B$1:$B$6230,0)),"",INDIRECT("'SorP'!$A$"&amp;MATCH($J7,SorP!$B$1:$B$6230,0))))</f>
        <v/>
      </c>
      <c r="U7" s="241"/>
      <c r="V7" s="275" t="e">
        <f>IF(C7="",NA(),MATCH($B7&amp;$C7,'Smelter Look-up'!$J:$J,0))</f>
        <v>#N/A</v>
      </c>
      <c r="W7" s="276"/>
      <c r="X7" s="276">
        <f t="shared" ca="1" si="4"/>
        <v>0</v>
      </c>
      <c r="Y7" s="276"/>
      <c r="Z7" s="276"/>
      <c r="AB7" s="278" t="str">
        <f t="shared" si="5"/>
        <v/>
      </c>
    </row>
    <row r="8" spans="1:34" s="277" customFormat="1" ht="19.95" customHeight="1">
      <c r="A8" s="332"/>
      <c r="B8" s="217" t="str">
        <f>IF(LEN(A8)=0,"",INDEX('Smelter Look-up'!$A:$A,MATCH($A8,'Smelter Look-up'!$E:$E,0)))</f>
        <v/>
      </c>
      <c r="C8" s="221" t="str">
        <f>IF(LEN(A8)=0,"",INDEX('Smelter Look-up'!$C:$C,MATCH($A8,'Smelter Look-up'!$E:$E,0)))</f>
        <v/>
      </c>
      <c r="D8" s="283"/>
      <c r="E8" s="217" t="str">
        <f ca="1">IF(ISERROR($V8),"",OFFSET('Smelter Look-up'!$D$4,$V8-4,0)&amp;"")</f>
        <v/>
      </c>
      <c r="F8" s="217" t="str">
        <f ca="1">IF(ISERROR($V8),"",OFFSET('Smelter Look-up'!$E$4,$V8-4,0))</f>
        <v/>
      </c>
      <c r="G8" s="217" t="str">
        <f ca="1">IF(C8=$X$4,"Enter smelter details",IF(ISERROR($V8),"",OFFSET('Smelter Look-up'!$F$4,$V8-4,0)))</f>
        <v/>
      </c>
      <c r="H8" s="218" t="str">
        <f ca="1">IF(ISERROR($V8),"",OFFSET('Smelter Look-up'!$G$4,$V8-4,0))</f>
        <v/>
      </c>
      <c r="I8" s="219" t="str">
        <f ca="1">IF(ISERROR($V8),"",OFFSET('Smelter Look-up'!$H$4,$V8-4,0))</f>
        <v/>
      </c>
      <c r="J8" s="219" t="str">
        <f ca="1">IF(ISERROR($V8),"",OFFSET('Smelter Look-up'!$I$4,$V8-4,0))</f>
        <v/>
      </c>
      <c r="K8" s="273"/>
      <c r="L8" s="273"/>
      <c r="M8" s="273"/>
      <c r="N8" s="273"/>
      <c r="O8" s="273"/>
      <c r="P8" s="220"/>
      <c r="Q8" s="274"/>
      <c r="R8" s="217" t="str">
        <f ca="1">IF(ISERROR($V8),"",OFFSET('Smelter Look-up'!$C$4,$V8-4,0)&amp;"")</f>
        <v/>
      </c>
      <c r="S8" s="225" t="str">
        <f t="shared" ca="1" si="3"/>
        <v/>
      </c>
      <c r="T8" s="225" t="str">
        <f ca="1">IF(B8="","",IF(ISERROR(MATCH($J8,SorP!$B$1:$B$6230,0)),"",INDIRECT("'SorP'!$A$"&amp;MATCH($J8,SorP!$B$1:$B$6230,0))))</f>
        <v/>
      </c>
      <c r="U8" s="241"/>
      <c r="V8" s="275" t="e">
        <f>IF(C8="",NA(),MATCH($B8&amp;$C8,'Smelter Look-up'!$J:$J,0))</f>
        <v>#N/A</v>
      </c>
      <c r="W8" s="276"/>
      <c r="X8" s="276">
        <f t="shared" ca="1" si="4"/>
        <v>0</v>
      </c>
      <c r="Y8" s="276"/>
      <c r="Z8" s="276"/>
      <c r="AB8" s="278" t="str">
        <f t="shared" si="5"/>
        <v/>
      </c>
    </row>
    <row r="9" spans="1:34" s="277" customFormat="1" ht="19.95" customHeight="1">
      <c r="A9" s="332"/>
      <c r="B9" s="217" t="str">
        <f>IF(LEN(A9)=0,"",INDEX('Smelter Look-up'!$A:$A,MATCH($A9,'Smelter Look-up'!$E:$E,0)))</f>
        <v/>
      </c>
      <c r="C9" s="221" t="str">
        <f>IF(LEN(A9)=0,"",INDEX('Smelter Look-up'!$C:$C,MATCH($A9,'Smelter Look-up'!$E:$E,0)))</f>
        <v/>
      </c>
      <c r="D9" s="283"/>
      <c r="E9" s="217" t="str">
        <f ca="1">IF(ISERROR($V9),"",OFFSET('Smelter Look-up'!$D$4,$V9-4,0)&amp;"")</f>
        <v/>
      </c>
      <c r="F9" s="217" t="str">
        <f ca="1">IF(ISERROR($V9),"",OFFSET('Smelter Look-up'!$E$4,$V9-4,0))</f>
        <v/>
      </c>
      <c r="G9" s="217" t="str">
        <f ca="1">IF(C9=$X$4,"Enter smelter details",IF(ISERROR($V9),"",OFFSET('Smelter Look-up'!$F$4,$V9-4,0)))</f>
        <v/>
      </c>
      <c r="H9" s="218" t="str">
        <f ca="1">IF(ISERROR($V9),"",OFFSET('Smelter Look-up'!$G$4,$V9-4,0))</f>
        <v/>
      </c>
      <c r="I9" s="219" t="str">
        <f ca="1">IF(ISERROR($V9),"",OFFSET('Smelter Look-up'!$H$4,$V9-4,0))</f>
        <v/>
      </c>
      <c r="J9" s="219" t="str">
        <f ca="1">IF(ISERROR($V9),"",OFFSET('Smelter Look-up'!$I$4,$V9-4,0))</f>
        <v/>
      </c>
      <c r="K9" s="273"/>
      <c r="L9" s="273"/>
      <c r="M9" s="273"/>
      <c r="N9" s="273"/>
      <c r="O9" s="273"/>
      <c r="P9" s="220"/>
      <c r="Q9" s="274"/>
      <c r="R9" s="217" t="str">
        <f ca="1">IF(ISERROR($V9),"",OFFSET('Smelter Look-up'!$C$4,$V9-4,0)&amp;"")</f>
        <v/>
      </c>
      <c r="S9" s="225" t="str">
        <f t="shared" ca="1" si="3"/>
        <v/>
      </c>
      <c r="T9" s="225" t="str">
        <f ca="1">IF(B9="","",IF(ISERROR(MATCH($J9,SorP!$B$1:$B$6230,0)),"",INDIRECT("'SorP'!$A$"&amp;MATCH($J9,SorP!$B$1:$B$6230,0))))</f>
        <v/>
      </c>
      <c r="U9" s="241"/>
      <c r="V9" s="275" t="e">
        <f>IF(C9="",NA(),MATCH($B9&amp;$C9,'Smelter Look-up'!$J:$J,0))</f>
        <v>#N/A</v>
      </c>
      <c r="W9" s="276"/>
      <c r="X9" s="276">
        <f t="shared" ca="1" si="4"/>
        <v>0</v>
      </c>
      <c r="Y9" s="276"/>
      <c r="Z9" s="276"/>
      <c r="AB9" s="278" t="str">
        <f t="shared" si="5"/>
        <v/>
      </c>
    </row>
    <row r="10" spans="1:34" s="277" customFormat="1" ht="19.95" customHeight="1">
      <c r="A10" s="332"/>
      <c r="B10" s="217" t="str">
        <f>IF(LEN(A10)=0,"",INDEX('Smelter Look-up'!$A:$A,MATCH($A10,'Smelter Look-up'!$E:$E,0)))</f>
        <v/>
      </c>
      <c r="C10" s="221" t="str">
        <f>IF(LEN(A10)=0,"",INDEX('Smelter Look-up'!$C:$C,MATCH($A10,'Smelter Look-up'!$E:$E,0)))</f>
        <v/>
      </c>
      <c r="D10" s="283"/>
      <c r="E10" s="217" t="str">
        <f ca="1">IF(ISERROR($V10),"",OFFSET('Smelter Look-up'!$D$4,$V10-4,0)&amp;"")</f>
        <v/>
      </c>
      <c r="F10" s="217" t="str">
        <f ca="1">IF(ISERROR($V10),"",OFFSET('Smelter Look-up'!$E$4,$V10-4,0))</f>
        <v/>
      </c>
      <c r="G10" s="217" t="str">
        <f ca="1">IF(C10=$X$4,"Enter smelter details",IF(ISERROR($V10),"",OFFSET('Smelter Look-up'!$F$4,$V10-4,0)))</f>
        <v/>
      </c>
      <c r="H10" s="218" t="str">
        <f ca="1">IF(ISERROR($V10),"",OFFSET('Smelter Look-up'!$G$4,$V10-4,0))</f>
        <v/>
      </c>
      <c r="I10" s="219" t="str">
        <f ca="1">IF(ISERROR($V10),"",OFFSET('Smelter Look-up'!$H$4,$V10-4,0))</f>
        <v/>
      </c>
      <c r="J10" s="219" t="str">
        <f ca="1">IF(ISERROR($V10),"",OFFSET('Smelter Look-up'!$I$4,$V10-4,0))</f>
        <v/>
      </c>
      <c r="K10" s="273"/>
      <c r="L10" s="273"/>
      <c r="M10" s="273"/>
      <c r="N10" s="273"/>
      <c r="O10" s="273"/>
      <c r="P10" s="220"/>
      <c r="Q10" s="274"/>
      <c r="R10" s="217" t="str">
        <f ca="1">IF(ISERROR($V10),"",OFFSET('Smelter Look-up'!$C$4,$V10-4,0)&amp;"")</f>
        <v/>
      </c>
      <c r="S10" s="225" t="str">
        <f t="shared" ca="1" si="3"/>
        <v/>
      </c>
      <c r="T10" s="225" t="str">
        <f ca="1">IF(B10="","",IF(ISERROR(MATCH($J10,SorP!$B$1:$B$6230,0)),"",INDIRECT("'SorP'!$A$"&amp;MATCH($J10,SorP!$B$1:$B$6230,0))))</f>
        <v/>
      </c>
      <c r="U10" s="241"/>
      <c r="V10" s="275" t="e">
        <f>IF(C10="",NA(),MATCH($B10&amp;$C10,'Smelter Look-up'!$J:$J,0))</f>
        <v>#N/A</v>
      </c>
      <c r="W10" s="276"/>
      <c r="X10" s="276">
        <f t="shared" ca="1" si="4"/>
        <v>0</v>
      </c>
      <c r="Y10" s="276"/>
      <c r="Z10" s="276"/>
      <c r="AB10" s="278" t="str">
        <f t="shared" si="5"/>
        <v/>
      </c>
    </row>
    <row r="11" spans="1:34" s="277" customFormat="1" ht="19.95" customHeight="1">
      <c r="A11" s="332"/>
      <c r="B11" s="217" t="str">
        <f>IF(LEN(A11)=0,"",INDEX('Smelter Look-up'!$A:$A,MATCH($A11,'Smelter Look-up'!$E:$E,0)))</f>
        <v/>
      </c>
      <c r="C11" s="221" t="str">
        <f>IF(LEN(A11)=0,"",INDEX('Smelter Look-up'!$C:$C,MATCH($A11,'Smelter Look-up'!$E:$E,0)))</f>
        <v/>
      </c>
      <c r="D11" s="283"/>
      <c r="E11" s="217" t="str">
        <f ca="1">IF(ISERROR($V11),"",OFFSET('Smelter Look-up'!$D$4,$V11-4,0)&amp;"")</f>
        <v/>
      </c>
      <c r="F11" s="217" t="str">
        <f ca="1">IF(ISERROR($V11),"",OFFSET('Smelter Look-up'!$E$4,$V11-4,0))</f>
        <v/>
      </c>
      <c r="G11" s="217" t="str">
        <f ca="1">IF(C11=$X$4,"Enter smelter details",IF(ISERROR($V11),"",OFFSET('Smelter Look-up'!$F$4,$V11-4,0)))</f>
        <v/>
      </c>
      <c r="H11" s="218" t="str">
        <f ca="1">IF(ISERROR($V11),"",OFFSET('Smelter Look-up'!$G$4,$V11-4,0))</f>
        <v/>
      </c>
      <c r="I11" s="219" t="str">
        <f ca="1">IF(ISERROR($V11),"",OFFSET('Smelter Look-up'!$H$4,$V11-4,0))</f>
        <v/>
      </c>
      <c r="J11" s="219" t="str">
        <f ca="1">IF(ISERROR($V11),"",OFFSET('Smelter Look-up'!$I$4,$V11-4,0))</f>
        <v/>
      </c>
      <c r="K11" s="273"/>
      <c r="L11" s="273"/>
      <c r="M11" s="273"/>
      <c r="N11" s="273"/>
      <c r="O11" s="273"/>
      <c r="P11" s="220"/>
      <c r="Q11" s="274"/>
      <c r="R11" s="217" t="str">
        <f ca="1">IF(ISERROR($V11),"",OFFSET('Smelter Look-up'!$C$4,$V11-4,0)&amp;"")</f>
        <v/>
      </c>
      <c r="S11" s="225" t="str">
        <f t="shared" ca="1" si="3"/>
        <v/>
      </c>
      <c r="T11" s="225" t="str">
        <f ca="1">IF(B11="","",IF(ISERROR(MATCH($J11,SorP!$B$1:$B$6230,0)),"",INDIRECT("'SorP'!$A$"&amp;MATCH($J11,SorP!$B$1:$B$6230,0))))</f>
        <v/>
      </c>
      <c r="U11" s="241"/>
      <c r="V11" s="275" t="e">
        <f>IF(C11="",NA(),MATCH($B11&amp;$C11,'Smelter Look-up'!$J:$J,0))</f>
        <v>#N/A</v>
      </c>
      <c r="W11" s="276"/>
      <c r="X11" s="276">
        <f t="shared" ca="1" si="4"/>
        <v>0</v>
      </c>
      <c r="Y11" s="276"/>
      <c r="Z11" s="276"/>
      <c r="AB11" s="278" t="str">
        <f t="shared" si="5"/>
        <v/>
      </c>
    </row>
    <row r="12" spans="1:34" s="277" customFormat="1" ht="19.95"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19.95"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19.95"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19.95"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19.95"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19.95"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19.95"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399999999999999">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399999999999999">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399999999999999">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399999999999999">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399999999999999">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399999999999999">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399999999999999">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399999999999999">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399999999999999">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399999999999999">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399999999999999">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399999999999999">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399999999999999">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399999999999999">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399999999999999">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399999999999999">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399999999999999">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399999999999999">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399999999999999">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399999999999999">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399999999999999">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399999999999999">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399999999999999">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399999999999999">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399999999999999">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399999999999999">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399999999999999">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399999999999999">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399999999999999">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399999999999999">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399999999999999">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399999999999999">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399999999999999">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399999999999999">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399999999999999">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399999999999999">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399999999999999">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399999999999999">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399999999999999">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399999999999999">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399999999999999">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399999999999999">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399999999999999">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399999999999999">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399999999999999">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399999999999999">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399999999999999">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399999999999999">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399999999999999">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399999999999999">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399999999999999">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399999999999999">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399999999999999">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399999999999999">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399999999999999">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399999999999999">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399999999999999">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399999999999999">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399999999999999">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399999999999999">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399999999999999">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399999999999999">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399999999999999">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399999999999999">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399999999999999">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399999999999999">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399999999999999">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399999999999999">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399999999999999">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399999999999999">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399999999999999">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399999999999999">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399999999999999">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399999999999999">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399999999999999">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399999999999999">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399999999999999">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399999999999999">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399999999999999">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399999999999999">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399999999999999">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399999999999999">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399999999999999">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399999999999999">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399999999999999">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399999999999999">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399999999999999">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399999999999999">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399999999999999">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399999999999999">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399999999999999">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399999999999999">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399999999999999">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399999999999999">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399999999999999">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399999999999999">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399999999999999">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399999999999999">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399999999999999">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399999999999999">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399999999999999">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399999999999999">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399999999999999">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399999999999999">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399999999999999">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399999999999999">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399999999999999">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399999999999999">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399999999999999">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399999999999999">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399999999999999">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399999999999999">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399999999999999">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399999999999999">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399999999999999">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399999999999999">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399999999999999">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399999999999999">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399999999999999">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399999999999999">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399999999999999">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399999999999999">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399999999999999">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399999999999999">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399999999999999">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399999999999999">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399999999999999">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399999999999999">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399999999999999">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399999999999999">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399999999999999">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399999999999999">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399999999999999">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399999999999999">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399999999999999">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399999999999999">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399999999999999">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399999999999999">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399999999999999">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399999999999999">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399999999999999">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399999999999999">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399999999999999">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399999999999999">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399999999999999">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399999999999999">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399999999999999">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399999999999999">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399999999999999">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399999999999999">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399999999999999">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399999999999999">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399999999999999">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399999999999999">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399999999999999">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399999999999999">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399999999999999">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399999999999999">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399999999999999">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399999999999999">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399999999999999">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399999999999999">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399999999999999">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399999999999999">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399999999999999">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399999999999999">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399999999999999">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399999999999999">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399999999999999">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399999999999999">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399999999999999">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399999999999999">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399999999999999">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399999999999999">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399999999999999">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399999999999999">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399999999999999">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399999999999999">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399999999999999">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399999999999999">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399999999999999">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399999999999999">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399999999999999">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399999999999999">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399999999999999">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399999999999999">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399999999999999">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399999999999999">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399999999999999">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399999999999999">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399999999999999">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399999999999999">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399999999999999">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399999999999999">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399999999999999">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399999999999999">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399999999999999">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399999999999999">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399999999999999">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399999999999999">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399999999999999">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399999999999999">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399999999999999">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399999999999999">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399999999999999">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399999999999999">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399999999999999">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399999999999999">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399999999999999">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399999999999999">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399999999999999">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399999999999999">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399999999999999">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399999999999999">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399999999999999">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399999999999999">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399999999999999">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399999999999999">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399999999999999">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399999999999999">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399999999999999">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399999999999999">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399999999999999">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399999999999999">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399999999999999">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399999999999999">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399999999999999">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399999999999999">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399999999999999">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399999999999999">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399999999999999">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399999999999999">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399999999999999">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399999999999999">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399999999999999">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399999999999999">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399999999999999">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399999999999999">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399999999999999">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399999999999999">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399999999999999">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399999999999999">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399999999999999">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399999999999999">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399999999999999">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399999999999999">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399999999999999">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399999999999999">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399999999999999">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399999999999999">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399999999999999">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399999999999999">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399999999999999">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399999999999999">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399999999999999">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399999999999999">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399999999999999">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399999999999999">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399999999999999">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399999999999999">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399999999999999">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399999999999999">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399999999999999">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399999999999999">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399999999999999">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399999999999999">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399999999999999">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399999999999999">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399999999999999">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399999999999999">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399999999999999">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399999999999999">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399999999999999">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399999999999999">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399999999999999">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399999999999999">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399999999999999">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399999999999999">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399999999999999">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399999999999999">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399999999999999">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399999999999999">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399999999999999">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399999999999999">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399999999999999">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399999999999999">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399999999999999">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399999999999999">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399999999999999">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399999999999999">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399999999999999">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399999999999999">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399999999999999">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399999999999999">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399999999999999">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399999999999999">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399999999999999">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399999999999999">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399999999999999">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399999999999999">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399999999999999">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399999999999999">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399999999999999">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399999999999999">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399999999999999">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399999999999999">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399999999999999">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399999999999999">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399999999999999">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399999999999999">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399999999999999">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399999999999999">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399999999999999">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399999999999999">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399999999999999">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399999999999999">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399999999999999">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399999999999999">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62" priority="38" stopIfTrue="1">
      <formula>IF(B586="",TRUE)</formula>
    </cfRule>
    <cfRule type="expression" dxfId="61" priority="49" stopIfTrue="1">
      <formula>IF(AND(COUNTIF(MetalSmelter,B586&amp;C586)=0,LEN(C586)&gt;0),TRUE,FALSE)</formula>
    </cfRule>
  </conditionalFormatting>
  <conditionalFormatting sqref="D586:D2504">
    <cfRule type="expression" dxfId="60" priority="32" stopIfTrue="1">
      <formula>IF(AND(LEN($C586)&gt;0,($C586&lt;&gt;"Smelter Not Listed")),1,0)</formula>
    </cfRule>
    <cfRule type="expression" dxfId="59" priority="57" stopIfTrue="1">
      <formula>IF(AND(D586="",$C586=$X$4),TRUE)</formula>
    </cfRule>
    <cfRule type="expression" dxfId="58" priority="58" stopIfTrue="1">
      <formula>IF(FIND("!",D586),TRUE)</formula>
    </cfRule>
  </conditionalFormatting>
  <conditionalFormatting sqref="G586:G2504">
    <cfRule type="expression" dxfId="57" priority="59" stopIfTrue="1">
      <formula>IF(FIND("Enter smelter details",G586),TRUE)</formula>
    </cfRule>
  </conditionalFormatting>
  <conditionalFormatting sqref="R586:R2505 E586:E2504">
    <cfRule type="expression" dxfId="56" priority="45" stopIfTrue="1">
      <formula>IF(AND(E586="",$C586=$X$4),TRUE)</formula>
    </cfRule>
    <cfRule type="expression" dxfId="55" priority="46" stopIfTrue="1">
      <formula>IF(FIND("!",E586),TRUE)</formula>
    </cfRule>
  </conditionalFormatting>
  <conditionalFormatting sqref="F586:F2504">
    <cfRule type="expression" dxfId="54" priority="36" stopIfTrue="1">
      <formula>IF(AND(LEN($A586)&gt;0,$A586&lt;&gt;$F586),TRUE,FALSE)</formula>
    </cfRule>
  </conditionalFormatting>
  <conditionalFormatting sqref="C586:C2504">
    <cfRule type="expression" dxfId="53" priority="35" stopIfTrue="1">
      <formula>IF(AND(B586&lt;&gt;"",C586=""),TRUE)</formula>
    </cfRule>
  </conditionalFormatting>
  <conditionalFormatting sqref="B21:B585 B5:B19">
    <cfRule type="expression" dxfId="52" priority="14" stopIfTrue="1">
      <formula>IF(B5="",TRUE)</formula>
    </cfRule>
    <cfRule type="expression" dxfId="51" priority="17" stopIfTrue="1">
      <formula>IF(AND(COUNTIF(MetalSmelter,B5&amp;C5)=0,LEN(C5)&gt;0),TRUE,FALSE)</formula>
    </cfRule>
  </conditionalFormatting>
  <conditionalFormatting sqref="D5:D19 D21:D585">
    <cfRule type="expression" dxfId="50" priority="11" stopIfTrue="1">
      <formula>IF(AND(LEN($C5)&gt;0,($C5&lt;&gt;"Smelter Not Listed")),1,0)</formula>
    </cfRule>
    <cfRule type="expression" dxfId="49" priority="18" stopIfTrue="1">
      <formula>IF(AND(D5="",$C5=$X$4),TRUE)</formula>
    </cfRule>
    <cfRule type="expression" dxfId="48" priority="19" stopIfTrue="1">
      <formula>IF(FIND("!",D5),TRUE)</formula>
    </cfRule>
  </conditionalFormatting>
  <conditionalFormatting sqref="G5:G19 G21:G585">
    <cfRule type="expression" dxfId="47" priority="20" stopIfTrue="1">
      <formula>IF(FIND("Enter smelter details",G5),TRUE)</formula>
    </cfRule>
  </conditionalFormatting>
  <conditionalFormatting sqref="R5:R585 E5:E19 E21:E585">
    <cfRule type="expression" dxfId="46" priority="15" stopIfTrue="1">
      <formula>IF(AND(E5="",$C5=$X$4),TRUE)</formula>
    </cfRule>
    <cfRule type="expression" dxfId="45" priority="16" stopIfTrue="1">
      <formula>IF(FIND("!",E5),TRUE)</formula>
    </cfRule>
  </conditionalFormatting>
  <conditionalFormatting sqref="F5:F19 F21:F585">
    <cfRule type="expression" dxfId="44" priority="13" stopIfTrue="1">
      <formula>IF(AND(LEN($A5)&gt;0,$A5&lt;&gt;$F5),TRUE,FALSE)</formula>
    </cfRule>
  </conditionalFormatting>
  <conditionalFormatting sqref="C21:C585 C5:C19">
    <cfRule type="expression" dxfId="43" priority="12" stopIfTrue="1">
      <formula>IF(AND(B5&lt;&gt;"",C5=""),TRUE)</formula>
    </cfRule>
  </conditionalFormatting>
  <conditionalFormatting sqref="B20">
    <cfRule type="expression" dxfId="42" priority="4" stopIfTrue="1">
      <formula>IF(B20="",TRUE)</formula>
    </cfRule>
    <cfRule type="expression" dxfId="41" priority="7" stopIfTrue="1">
      <formula>IF(AND(COUNTIF(MetalSmelter,B20&amp;C20)=0,LEN(C20)&gt;0),TRUE,FALSE)</formula>
    </cfRule>
  </conditionalFormatting>
  <conditionalFormatting sqref="D20">
    <cfRule type="expression" dxfId="40" priority="1" stopIfTrue="1">
      <formula>IF(AND(LEN($C20)&gt;0,($C20&lt;&gt;"Smelter Not Listed")),1,0)</formula>
    </cfRule>
    <cfRule type="expression" dxfId="39" priority="8" stopIfTrue="1">
      <formula>IF(AND(D20="",$C20=$X$4),TRUE)</formula>
    </cfRule>
    <cfRule type="expression" dxfId="38" priority="9" stopIfTrue="1">
      <formula>IF(FIND("!",D20),TRUE)</formula>
    </cfRule>
  </conditionalFormatting>
  <conditionalFormatting sqref="G20">
    <cfRule type="expression" dxfId="37" priority="10" stopIfTrue="1">
      <formula>IF(FIND("Enter smelter details",G20),TRUE)</formula>
    </cfRule>
  </conditionalFormatting>
  <conditionalFormatting sqref="E20">
    <cfRule type="expression" dxfId="36" priority="5" stopIfTrue="1">
      <formula>IF(AND(E20="",$C20=$X$4),TRUE)</formula>
    </cfRule>
    <cfRule type="expression" dxfId="35" priority="6" stopIfTrue="1">
      <formula>IF(FIND("!",E20),TRUE)</formula>
    </cfRule>
  </conditionalFormatting>
  <conditionalFormatting sqref="F20">
    <cfRule type="expression" dxfId="34" priority="3" stopIfTrue="1">
      <formula>IF(AND(LEN($A20)&gt;0,$A20&lt;&gt;$F20),TRUE,FALSE)</formula>
    </cfRule>
  </conditionalFormatting>
  <conditionalFormatting sqref="C20">
    <cfRule type="expression" dxfId="33"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22" customWidth="1"/>
    <col min="2" max="2" width="42.81640625" style="25" customWidth="1"/>
    <col min="3" max="3" width="51.6328125" style="22" customWidth="1"/>
    <col min="4" max="4" width="29.17968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81640625" style="22" hidden="1" customWidth="1"/>
    <col min="11" max="11" width="9" style="22" hidden="1" customWidth="1"/>
    <col min="12" max="14" width="8.81640625" style="22" hidden="1" customWidth="1"/>
    <col min="15" max="18" width="8.81640625" style="22" customWidth="1"/>
    <col min="19" max="16384" width="8.81640625" style="22"/>
  </cols>
  <sheetData>
    <row r="1" spans="1:10" ht="32.4">
      <c r="A1" s="437" t="str">
        <f ca="1">OFFSET(L!$C$1,MATCH("Checker"&amp;ADDRESS(ROW(),COLUMN(),4),L!$A:$A,0)-1,SL,,)</f>
        <v>To ensure all required fields have been populated before submitting to your customers review form for any line items highlighted in red</v>
      </c>
      <c r="B1" s="437"/>
      <c r="C1" s="437"/>
      <c r="D1" s="146" t="str">
        <f ca="1">OFFSET(L!$C$1,MATCH("Checker"&amp;ADDRESS(ROW(),COLUMN(),4),L!$A:$A,0)-1,SL,,)</f>
        <v>Required fields remaining to be completed</v>
      </c>
      <c r="E1" s="84" t="s">
        <v>827</v>
      </c>
    </row>
    <row r="2" spans="1:10" ht="16.2">
      <c r="A2" s="77" t="s">
        <v>921</v>
      </c>
      <c r="B2" s="78" t="str">
        <f>IF(F65=1,"Click here to return to Smelter List","")</f>
        <v/>
      </c>
      <c r="C2" s="150" t="str">
        <f>IF(F65=1,"Click here to return to Product List","")</f>
        <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Sinclair &amp;Rush Ltd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Mark Osborn</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mosborn@sinclair-rush.co.uk</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 (0) 1622 620229</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Mark Osborn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mosborn@sinclair-rush.co.uk</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44096</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 xml:space="preserve">Tin  </v>
      </c>
      <c r="B15" s="102" t="str">
        <f>Declaration!D27</f>
        <v>No</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 xml:space="preserve">Tin  </v>
      </c>
      <c r="B20" s="102">
        <f>IF($B$15="Yes",Declaration!D33,0)</f>
        <v>0</v>
      </c>
      <c r="C20" s="102" t="str">
        <f ca="1">IF(H20=1,J20,I20)</f>
        <v>Complete</v>
      </c>
      <c r="D20" s="110" t="str">
        <f>IF(H20=1,"Click here to answer question 2 for Tin","")</f>
        <v/>
      </c>
      <c r="E20" s="84" t="s">
        <v>828</v>
      </c>
      <c r="F20" s="107">
        <f>IF(B$15="No",0,1)</f>
        <v>0</v>
      </c>
      <c r="G20" s="81">
        <f>IF(B20=0,1,0)</f>
        <v>1</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 xml:space="preserve">Tin  </v>
      </c>
      <c r="B25" s="102">
        <f>IF(AND($B$15="Yes",$B$20="Yes"),Declaration!D39,0)</f>
        <v>0</v>
      </c>
      <c r="C25" s="102" t="str">
        <f ca="1">IF(H25=1,J25,I25)</f>
        <v>Complete</v>
      </c>
      <c r="D25" s="110" t="str">
        <f>IF(H25=1,"Click here to answer question 3 for Tin","")</f>
        <v/>
      </c>
      <c r="E25" s="84" t="s">
        <v>828</v>
      </c>
      <c r="F25" s="107">
        <f>IF(OR(B15="No",B20="No"),0,1)</f>
        <v>0</v>
      </c>
      <c r="G25" s="81">
        <f>IF(B25=0,1,0)</f>
        <v>1</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 xml:space="preserve">Tin  </v>
      </c>
      <c r="B30" s="102">
        <f>IF(AND($B$15="Yes",$B$20="Yes"),Declaration!D45,0)</f>
        <v>0</v>
      </c>
      <c r="C30" s="102" t="str">
        <f ca="1">IF(H30=1,J30,I30)</f>
        <v>Complete</v>
      </c>
      <c r="D30" s="330" t="str">
        <f>IF(H30=1,"Click here to answer question 4 for Tin","")</f>
        <v/>
      </c>
      <c r="E30" s="84"/>
      <c r="F30" s="107">
        <f>F25</f>
        <v>0</v>
      </c>
      <c r="G30" s="81">
        <f>IF(B30=0,1,0)</f>
        <v>1</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 xml:space="preserve">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 xml:space="preserve">Tin  </v>
      </c>
      <c r="B35" s="102">
        <f>IF(AND($B$15="Yes",$B$20="Yes"),Declaration!D51,0)</f>
        <v>0</v>
      </c>
      <c r="C35" s="102" t="str">
        <f ca="1">IF(H35=1,J35,I35)</f>
        <v>Complete</v>
      </c>
      <c r="D35" s="330" t="str">
        <f>IF(H35=1,"Click here to answer question 5 for Tin","")</f>
        <v/>
      </c>
      <c r="E35" s="84" t="s">
        <v>1330</v>
      </c>
      <c r="F35" s="107">
        <f>F25</f>
        <v>0</v>
      </c>
      <c r="G35" s="81">
        <f>IF(B35=0,1,0)</f>
        <v>1</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 xml:space="preserve">6) What percentage of relevant suppliers have provided a response to your supply chain survey? </v>
      </c>
      <c r="B38" s="105"/>
      <c r="C38" s="105"/>
      <c r="D38" s="109"/>
      <c r="E38" s="84" t="s">
        <v>828</v>
      </c>
      <c r="F38" s="106"/>
      <c r="G38" s="24"/>
      <c r="H38" s="24"/>
    </row>
    <row r="39" spans="1:10" ht="26.4">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 xml:space="preserve">Tin  </v>
      </c>
      <c r="B40" s="299">
        <f>IF(AND($B$15="Yes",$B$20="Yes"),Declaration!D57,0)</f>
        <v>0</v>
      </c>
      <c r="C40" s="102" t="str">
        <f ca="1">IF(H40=1,J40,I40)</f>
        <v>Complete</v>
      </c>
      <c r="D40" s="331" t="str">
        <f>IF(H40=1,"Click here to answer question 6 for Tin","")</f>
        <v/>
      </c>
      <c r="E40" s="84" t="s">
        <v>827</v>
      </c>
      <c r="F40" s="107">
        <f>F25</f>
        <v>0</v>
      </c>
      <c r="G40" s="81">
        <f>IF(B40=0,1,0)</f>
        <v>1</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 xml:space="preserve">7) Have you identified all of the smelters supplying the 3TG to your supply chain? </v>
      </c>
      <c r="B43" s="105"/>
      <c r="C43" s="105"/>
      <c r="D43" s="109"/>
      <c r="E43" s="84" t="s">
        <v>829</v>
      </c>
      <c r="F43" s="106"/>
      <c r="G43" s="24"/>
      <c r="H43" s="24"/>
    </row>
    <row r="44" spans="1:10" ht="51.6">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 xml:space="preserve">Tin  </v>
      </c>
      <c r="B45" s="102">
        <f>IF(AND($B$15="Yes",$B$20="Yes"),Declaration!D63,0)</f>
        <v>0</v>
      </c>
      <c r="C45" s="102" t="str">
        <f ca="1">IF(H45=1,J45,I45)</f>
        <v>Complete</v>
      </c>
      <c r="D45" s="330" t="str">
        <f>IF(H45=1,"Click here to answer question 7 for Tin","")</f>
        <v/>
      </c>
      <c r="E45" s="84" t="s">
        <v>1326</v>
      </c>
      <c r="F45" s="107">
        <f>F25</f>
        <v>0</v>
      </c>
      <c r="G45" s="81">
        <f>IF(B45=0,1,0)</f>
        <v>1</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 xml:space="preserve">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 xml:space="preserve">Tin  </v>
      </c>
      <c r="B50" s="102">
        <f>IF(AND($B$15="Yes",$B$20="Yes"),Declaration!D69,0)</f>
        <v>0</v>
      </c>
      <c r="C50" s="102" t="str">
        <f ca="1">IF(H50=1,J50,I50)</f>
        <v>Complete</v>
      </c>
      <c r="D50" s="331" t="str">
        <f>IF(H50=1,"Click here to answer question 8 for Tin","")</f>
        <v/>
      </c>
      <c r="E50" s="84" t="s">
        <v>828</v>
      </c>
      <c r="F50" s="107">
        <f>F25</f>
        <v>0</v>
      </c>
      <c r="G50" s="81">
        <f>IF(B50=0,1,0)</f>
        <v>1</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v>
      </c>
      <c r="B54" s="102" t="str">
        <f>Declaration!D75</f>
        <v>Yes</v>
      </c>
      <c r="C54" s="102" t="str">
        <f t="shared" ref="C54:C60" ca="1" si="10">IF(H54=1,J54,I54)</f>
        <v>Complete</v>
      </c>
      <c r="D54" s="108" t="str">
        <f>IF(H54=1,"Click here to answer question (A)","")</f>
        <v/>
      </c>
      <c r="E54" s="84" t="s">
        <v>1330</v>
      </c>
      <c r="F54" s="107">
        <f>IF(SUM(F$24:F$27)=0,0,1)</f>
        <v>0</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v>
      </c>
      <c r="B55" s="102" t="str">
        <f>Declaration!D77</f>
        <v>Yes</v>
      </c>
      <c r="C55" s="102" t="str">
        <f t="shared" ca="1" si="10"/>
        <v>Complete</v>
      </c>
      <c r="D55" s="108" t="str">
        <f>IF(H55=1,"Click here to answer question (B)","")</f>
        <v/>
      </c>
      <c r="E55" s="84" t="s">
        <v>1330</v>
      </c>
      <c r="F55" s="107">
        <f t="shared" ref="F55" si="12">F$54</f>
        <v>0</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49999999999997" customHeight="1">
      <c r="A56" s="102" t="s">
        <v>6</v>
      </c>
      <c r="B56" s="102" t="str">
        <f>Declaration!G77</f>
        <v>http://www.sinclair-rush.co.uk/media/3223/conflict-minerals-declaration-policy.pdf</v>
      </c>
      <c r="C56" s="102" t="str">
        <f t="shared" ca="1" si="10"/>
        <v>Complete</v>
      </c>
      <c r="D56" s="108" t="str">
        <f>IF(H56=1,"Click here to specify URL for question (B)","")</f>
        <v/>
      </c>
      <c r="E56" s="84"/>
      <c r="F56" s="107">
        <f>IF(AND(F55=1,B55="Yes"),1,0)</f>
        <v>0</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v>
      </c>
      <c r="B57" s="102" t="str">
        <f>Declaration!D79</f>
        <v>Yes</v>
      </c>
      <c r="C57" s="102" t="str">
        <f t="shared" ca="1" si="10"/>
        <v>Complete</v>
      </c>
      <c r="D57" s="108" t="str">
        <f>IF(H57=1,"Click here to answer question (C)","")</f>
        <v/>
      </c>
      <c r="E57" s="84" t="s">
        <v>1330</v>
      </c>
      <c r="F57" s="107">
        <f>F$54</f>
        <v>0</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v>
      </c>
      <c r="B58" s="102" t="str">
        <f>Declaration!D81</f>
        <v>Yes</v>
      </c>
      <c r="C58" s="102" t="str">
        <f t="shared" ca="1" si="10"/>
        <v>Complete</v>
      </c>
      <c r="D58" s="108" t="str">
        <f>IF(H58=1,"Click here to answer question (D)","")</f>
        <v/>
      </c>
      <c r="E58" s="84" t="s">
        <v>1330</v>
      </c>
      <c r="F58" s="107">
        <f>F$54</f>
        <v>0</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v>
      </c>
      <c r="B59" s="102" t="str">
        <f>Declaration!D83</f>
        <v>No</v>
      </c>
      <c r="C59" s="102" t="str">
        <f t="shared" ca="1" si="10"/>
        <v>Complete</v>
      </c>
      <c r="D59" s="108" t="str">
        <f>IF(H59=1,"Click here to answer question (E)","")</f>
        <v/>
      </c>
      <c r="E59" s="84" t="s">
        <v>1330</v>
      </c>
      <c r="F59" s="107">
        <f>F$54</f>
        <v>0</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v>
      </c>
      <c r="B60" s="102" t="str">
        <f>Declaration!D85</f>
        <v>No</v>
      </c>
      <c r="C60" s="102" t="str">
        <f t="shared" ca="1" si="10"/>
        <v>Complete</v>
      </c>
      <c r="D60" s="108" t="str">
        <f>IF(H60=1,"Click here to answer question (F)","")</f>
        <v/>
      </c>
      <c r="E60" s="84" t="s">
        <v>1330</v>
      </c>
      <c r="F60" s="107">
        <f>F$54</f>
        <v>0</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v>
      </c>
      <c r="B62" s="102" t="str">
        <f>Declaration!D87</f>
        <v>No</v>
      </c>
      <c r="C62" s="102" t="str">
        <f t="shared" ref="C62:C68" ca="1" si="13">IF(H62=1,J62,I62)</f>
        <v>Complete</v>
      </c>
      <c r="D62" s="108" t="str">
        <f>IF(H62=1,"Click here to answer question (G)","")</f>
        <v/>
      </c>
      <c r="E62" s="84" t="s">
        <v>1330</v>
      </c>
      <c r="F62" s="107">
        <f>F$54</f>
        <v>0</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v>
      </c>
      <c r="B63" s="102" t="str">
        <f>Declaration!D89</f>
        <v>No</v>
      </c>
      <c r="C63" s="102" t="str">
        <f t="shared" ca="1" si="13"/>
        <v>Complete</v>
      </c>
      <c r="D63" s="108" t="str">
        <f>IF(H63=1,"Click here to answer question (H)","")</f>
        <v/>
      </c>
      <c r="E63" s="84" t="s">
        <v>1330</v>
      </c>
      <c r="F63" s="107">
        <f>F$54</f>
        <v>0</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0</v>
      </c>
      <c r="G65" s="81">
        <f>IF(AND(COUNTIF(SmelterIdetifiedForMetal,"Tantalum")&gt;0,COUNTIF('Smelter List'!AB$5:AB$2504,"Tantalum?*")&gt;0),0,1)</f>
        <v>1</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0</v>
      </c>
      <c r="G66" s="81">
        <f>IF(AND(COUNTIF(SmelterIdetifiedForMetal,"Tin")&gt;0,COUNTIF('Smelter List'!AB$5:AB$2504,"Tin?*")&gt;0),0,1)</f>
        <v>1</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0</v>
      </c>
      <c r="G67" s="81">
        <f>IF(AND(COUNTIF(SmelterIdetifiedForMetal,"Gold")&gt;0,COUNTIF('Smelter List'!AB$5:AB$2504,"Gold?*")&gt;0),0,1)</f>
        <v>1</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0</v>
      </c>
      <c r="G68" s="81">
        <f>IF(AND(COUNTIF(SmelterIdetifiedForMetal,"Tungsten")&gt;0,COUNTIF('Smelter List'!AB$5:AB$2504,"Tungsten?*")&gt;0),0,1)</f>
        <v>1</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2" priority="358" stopIfTrue="1">
      <formula>$H$56=0</formula>
    </cfRule>
  </conditionalFormatting>
  <conditionalFormatting sqref="B66">
    <cfRule type="expression" dxfId="31" priority="39" stopIfTrue="1">
      <formula>IF(F66=0,TRUE)</formula>
    </cfRule>
  </conditionalFormatting>
  <conditionalFormatting sqref="B67">
    <cfRule type="expression" dxfId="30" priority="35" stopIfTrue="1">
      <formula>IF(F67=0,TRUE)</formula>
    </cfRule>
  </conditionalFormatting>
  <conditionalFormatting sqref="B68:B69">
    <cfRule type="expression" dxfId="29" priority="31" stopIfTrue="1">
      <formula>IF(F68=0,TRUE)</formula>
    </cfRule>
  </conditionalFormatting>
  <conditionalFormatting sqref="C69">
    <cfRule type="expression" dxfId="28" priority="13" stopIfTrue="1">
      <formula>C69="Not Required"</formula>
    </cfRule>
    <cfRule type="expression" dxfId="27" priority="21" stopIfTrue="1">
      <formula>OR(C69="Complete",C69="填写",C69="記入",C69="완료",C69="Complétez",C69="Concluído",C69="Vollständig",C69="Completare",C69="Doldurun")</formula>
    </cfRule>
  </conditionalFormatting>
  <conditionalFormatting sqref="A69">
    <cfRule type="expression" dxfId="26" priority="14" stopIfTrue="1">
      <formula>C69="Not Required"</formula>
    </cfRule>
    <cfRule type="expression" dxfId="25"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4" priority="347" stopIfTrue="1">
      <formula>$F4=0</formula>
    </cfRule>
    <cfRule type="expression" dxfId="23" priority="348" stopIfTrue="1">
      <formula>$H4=0</formula>
    </cfRule>
    <cfRule type="expression" dxfId="22" priority="349" stopIfTrue="1">
      <formula>$H4=1</formula>
    </cfRule>
  </conditionalFormatting>
  <conditionalFormatting sqref="C69 A69">
    <cfRule type="expression" dxfId="21" priority="11" stopIfTrue="1">
      <formula>IF(AND($F$69=1,$G$69=1),TRUE,FALSE)</formula>
    </cfRule>
  </conditionalFormatting>
  <conditionalFormatting sqref="A29:A32">
    <cfRule type="expression" dxfId="20" priority="2" stopIfTrue="1">
      <formula>$F29=0</formula>
    </cfRule>
    <cfRule type="expression" dxfId="19" priority="3" stopIfTrue="1">
      <formula>$H29=0</formula>
    </cfRule>
    <cfRule type="expression" dxfId="18" priority="4" stopIfTrue="1">
      <formula>$H29=1</formula>
    </cfRule>
  </conditionalFormatting>
  <conditionalFormatting sqref="B65">
    <cfRule type="expression" dxfId="17" priority="1" stopIfTrue="1">
      <formula>IF(F65=0,TRUE)</formula>
    </cfRule>
  </conditionalFormatting>
  <conditionalFormatting sqref="A5:A13">
    <cfRule type="expression" dxfId="16" priority="49" stopIfTrue="1">
      <formula>$F5=0</formula>
    </cfRule>
    <cfRule type="expression" dxfId="15" priority="50" stopIfTrue="1">
      <formula>AND($F5=1,$G5=0)</formula>
    </cfRule>
    <cfRule type="expression" dxfId="14"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116" customWidth="1"/>
    <col min="2" max="2" width="39.81640625" style="117" customWidth="1"/>
    <col min="3" max="3" width="39.81640625" style="116" customWidth="1"/>
    <col min="4" max="4" width="58.81640625" style="116" customWidth="1"/>
    <col min="5" max="5" width="1.6328125" style="116" customWidth="1"/>
    <col min="6" max="6" width="9" customWidth="1"/>
    <col min="7" max="16384" width="8.81640625" style="26"/>
  </cols>
  <sheetData>
    <row r="1" spans="1:6" ht="35.1" customHeight="1" thickTop="1">
      <c r="A1" s="439" t="str">
        <f ca="1">OFFSET(L!$C$1,MATCH("Product List"&amp;ADDRESS(ROW(),COLUMN(),4),L!$A:$A,0)-1,SL,,)</f>
        <v>Completion required only if reporting level "Product (or List of Products)" selected on the 'Declaration' worksheet.</v>
      </c>
      <c r="B1" s="440"/>
      <c r="C1" s="440"/>
      <c r="D1" s="440"/>
      <c r="E1" s="145"/>
    </row>
    <row r="2" spans="1:6" ht="13.2">
      <c r="A2" s="29"/>
      <c r="B2" s="147"/>
      <c r="C2" s="147"/>
      <c r="D2"/>
      <c r="E2" s="30"/>
    </row>
    <row r="3" spans="1:6" ht="13.2">
      <c r="A3" s="29"/>
      <c r="B3" s="147"/>
      <c r="C3" s="147"/>
      <c r="D3" s="147"/>
      <c r="E3" s="30"/>
    </row>
    <row r="4" spans="1:6" ht="15.75" customHeight="1">
      <c r="A4" s="29"/>
      <c r="B4" s="438" t="s">
        <v>921</v>
      </c>
      <c r="C4" s="438"/>
      <c r="D4" s="438"/>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1" t="str">
        <f ca="1">OFFSET(L!$C$1,MATCH("General"&amp;"Cpy",L!$A:$A,0)-1,SL,,)</f>
        <v>© 2020 Responsible Minerals Initiative. All rights reserved.</v>
      </c>
      <c r="C1001" s="441"/>
      <c r="D1001" s="441"/>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1640625" defaultRowHeight="12.6"/>
  <cols>
    <col min="1" max="1" width="9.1796875" style="227" bestFit="1" customWidth="1"/>
    <col min="2" max="2" width="42.81640625" style="227" customWidth="1"/>
    <col min="3" max="3" width="63.81640625" style="227" customWidth="1"/>
    <col min="4" max="4" width="25.6328125" style="227" customWidth="1"/>
    <col min="5" max="5" width="12.6328125" style="227" customWidth="1"/>
    <col min="6" max="6" width="12.6328125" style="228" customWidth="1"/>
    <col min="7" max="7" width="15.36328125" style="227" customWidth="1"/>
    <col min="8" max="8" width="23.81640625" style="227" customWidth="1"/>
    <col min="9" max="9" width="28.1796875" style="227" customWidth="1"/>
    <col min="10" max="10" width="48.26953125" style="227" hidden="1" customWidth="1"/>
    <col min="11" max="11" width="49.7265625" style="227" hidden="1" customWidth="1"/>
    <col min="12" max="13" width="49.7265625" style="227" customWidth="1"/>
    <col min="14" max="16384" width="8.81640625" style="227"/>
  </cols>
  <sheetData>
    <row r="1" spans="1:16" ht="168.6"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13" priority="21" stopIfTrue="1" operator="equal">
      <formula>"Yes"</formula>
    </cfRule>
  </conditionalFormatting>
  <conditionalFormatting sqref="K5">
    <cfRule type="cellIs" dxfId="12" priority="5" stopIfTrue="1" operator="equal">
      <formula>"Yes"</formula>
    </cfRule>
  </conditionalFormatting>
  <conditionalFormatting sqref="J293:J294">
    <cfRule type="cellIs" dxfId="11" priority="3" stopIfTrue="1" operator="equal">
      <formula>"Yes"</formula>
    </cfRule>
  </conditionalFormatting>
  <conditionalFormatting sqref="J353:J354">
    <cfRule type="cellIs" dxfId="10" priority="2" stopIfTrue="1" operator="equal">
      <formula>"Yes"</formula>
    </cfRule>
  </conditionalFormatting>
  <conditionalFormatting sqref="J484:J485">
    <cfRule type="cellIs" dxfId="9"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1640625" defaultRowHeight="13.8"/>
  <cols>
    <col min="1" max="1" width="14.6328125" style="293" customWidth="1"/>
    <col min="2" max="2" width="14" style="293" customWidth="1"/>
    <col min="3" max="3" width="6.1796875" style="293" customWidth="1"/>
    <col min="4" max="4" width="56.26953125" style="293" customWidth="1"/>
    <col min="5" max="5" width="53.7265625" style="288" customWidth="1"/>
    <col min="6" max="6" width="54.1796875" style="293" customWidth="1"/>
    <col min="7" max="7" width="68.26953125" style="293" customWidth="1"/>
    <col min="8" max="8" width="49.26953125" style="293" customWidth="1"/>
    <col min="9" max="9" width="51.6328125" style="293" customWidth="1"/>
    <col min="10" max="10" width="50.26953125" style="293" customWidth="1"/>
    <col min="11" max="11" width="51.81640625" style="255" customWidth="1"/>
    <col min="12" max="12" width="66.81640625" style="326" customWidth="1"/>
    <col min="13" max="13" width="46.1796875" style="187" customWidth="1"/>
    <col min="14" max="15" width="8.81640625" style="187" customWidth="1"/>
    <col min="16" max="16384" width="8.8164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5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Mark Osborn</cp:lastModifiedBy>
  <cp:lastPrinted>2015-04-21T20:47:43Z</cp:lastPrinted>
  <dcterms:created xsi:type="dcterms:W3CDTF">2010-06-21T21:00:23Z</dcterms:created>
  <dcterms:modified xsi:type="dcterms:W3CDTF">2020-09-22T08:45:53Z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